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під заставу депозиту\"/>
    </mc:Choice>
  </mc:AlternateContent>
  <xr:revisionPtr revIDLastSave="0" documentId="13_ncr:1_{6C677633-CBB9-453A-9A87-53BBE7DB3D8F}" xr6:coauthVersionLast="45" xr6:coauthVersionMax="45" xr10:uidLastSave="{00000000-0000-0000-0000-000000000000}"/>
  <workbookProtection workbookAlgorithmName="SHA-512" workbookHashValue="+6CdaWg8jraCfWK1NkFsFeIL2fu9v5CuOhCfCh0OES9IOAZSpHxXJirwGdfToghp3sfaoDOES0kpP/yJSB4GIw==" workbookSaltValue="/+DfbuDOI4GwSVRrNZVlbg==" workbookSpinCount="100000" lockStructure="1"/>
  <bookViews>
    <workbookView xWindow="3285" yWindow="1515" windowWidth="15240" windowHeight="11055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графік'!$B$42:$X$286</definedName>
    <definedName name="_xlnm.Print_Area" localSheetId="1">'Ануїтетний графік погашення'!$B$3:$Y$277</definedName>
    <definedName name="_xlnm.Print_Area" localSheetId="0">'Умови та класичний графік'!$B$3:$Y$284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1" l="1"/>
  <c r="J18" i="1" l="1"/>
  <c r="S43" i="1" s="1"/>
  <c r="J21" i="1"/>
  <c r="J19" i="2" s="1"/>
  <c r="J16" i="1"/>
  <c r="J14" i="2" s="1"/>
  <c r="J16" i="2" l="1"/>
  <c r="S34" i="2" s="1"/>
  <c r="W44" i="1"/>
  <c r="W284" i="1" l="1"/>
  <c r="J20" i="1" l="1"/>
  <c r="J18" i="2" s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275" i="2"/>
  <c r="R34" i="2"/>
  <c r="R275" i="2" s="1"/>
  <c r="Q34" i="2"/>
  <c r="Q275" i="2" s="1"/>
  <c r="P34" i="2"/>
  <c r="P275" i="2" s="1"/>
  <c r="D35" i="2"/>
  <c r="O34" i="2" l="1"/>
  <c r="U34" i="2"/>
  <c r="F35" i="2"/>
  <c r="F36" i="2"/>
  <c r="E37" i="2"/>
  <c r="F37" i="2" s="1"/>
  <c r="C38" i="2"/>
  <c r="O275" i="2" l="1"/>
  <c r="O25" i="2"/>
  <c r="L34" i="2"/>
  <c r="G34" i="2" s="1"/>
  <c r="J20" i="2"/>
  <c r="K35" i="2" s="1"/>
  <c r="D39" i="2"/>
  <c r="C39" i="2"/>
  <c r="E38" i="2"/>
  <c r="F38" i="2" s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J67" i="2"/>
  <c r="J76" i="2"/>
  <c r="J84" i="2"/>
  <c r="J92" i="2"/>
  <c r="J100" i="2"/>
  <c r="J108" i="2"/>
  <c r="J116" i="2"/>
  <c r="J124" i="2"/>
  <c r="J132" i="2"/>
  <c r="J140" i="2"/>
  <c r="J148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J53" i="2"/>
  <c r="J61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43" i="1"/>
  <c r="V43" i="1"/>
  <c r="G51" i="2" l="1"/>
  <c r="G91" i="2"/>
  <c r="G61" i="2"/>
  <c r="G45" i="2"/>
  <c r="O34" i="1"/>
  <c r="U43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7" i="1"/>
  <c r="L178" i="1"/>
  <c r="L179" i="1"/>
  <c r="L180" i="1"/>
  <c r="L181" i="1"/>
  <c r="L182" i="1"/>
  <c r="L183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3" i="1"/>
  <c r="L204" i="1"/>
  <c r="L205" i="1"/>
  <c r="L206" i="1"/>
  <c r="L207" i="1"/>
  <c r="L208" i="1"/>
  <c r="L209" i="1"/>
  <c r="L210" i="1"/>
  <c r="L212" i="1"/>
  <c r="L213" i="1"/>
  <c r="L214" i="1"/>
  <c r="L215" i="1"/>
  <c r="L216" i="1"/>
  <c r="L217" i="1"/>
  <c r="L218" i="1"/>
  <c r="L219" i="1"/>
  <c r="L220" i="1"/>
  <c r="L221" i="1"/>
  <c r="L222" i="1"/>
  <c r="L224" i="1"/>
  <c r="L225" i="1"/>
  <c r="L226" i="1"/>
  <c r="L227" i="1"/>
  <c r="L228" i="1"/>
  <c r="L229" i="1"/>
  <c r="L230" i="1"/>
  <c r="L231" i="1"/>
  <c r="L232" i="1"/>
  <c r="L233" i="1"/>
  <c r="L234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60" i="1"/>
  <c r="L261" i="1"/>
  <c r="L262" i="1"/>
  <c r="L263" i="1"/>
  <c r="L264" i="1"/>
  <c r="L265" i="1"/>
  <c r="L266" i="1"/>
  <c r="L267" i="1"/>
  <c r="L268" i="1"/>
  <c r="L269" i="1"/>
  <c r="L270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46" i="1"/>
  <c r="L47" i="1"/>
  <c r="C46" i="1"/>
  <c r="C47" i="1" s="1"/>
  <c r="E47" i="1" s="1"/>
  <c r="D46" i="1"/>
  <c r="I47" i="2" l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W37" i="2"/>
  <c r="W36" i="2"/>
  <c r="W41" i="2"/>
  <c r="W39" i="2"/>
  <c r="W40" i="2"/>
  <c r="W38" i="2"/>
  <c r="C42" i="2"/>
  <c r="W42" i="2" s="1"/>
  <c r="D42" i="2"/>
  <c r="E41" i="2"/>
  <c r="F41" i="2" s="1"/>
  <c r="E46" i="1"/>
  <c r="F46" i="1" s="1"/>
  <c r="D47" i="1"/>
  <c r="F47" i="1" s="1"/>
  <c r="C48" i="1"/>
  <c r="D48" i="1"/>
  <c r="C43" i="2" l="1"/>
  <c r="E42" i="2"/>
  <c r="F42" i="2" s="1"/>
  <c r="D43" i="2"/>
  <c r="E48" i="1"/>
  <c r="F48" i="1" s="1"/>
  <c r="C49" i="1"/>
  <c r="D49" i="1"/>
  <c r="W43" i="2" l="1"/>
  <c r="C44" i="2"/>
  <c r="E43" i="2"/>
  <c r="F43" i="2" s="1"/>
  <c r="D44" i="2"/>
  <c r="C50" i="1"/>
  <c r="D50" i="1"/>
  <c r="E49" i="1"/>
  <c r="F49" i="1" s="1"/>
  <c r="W44" i="2" l="1"/>
  <c r="C45" i="2"/>
  <c r="E44" i="2"/>
  <c r="F44" i="2" s="1"/>
  <c r="D45" i="2"/>
  <c r="E50" i="1"/>
  <c r="F50" i="1" s="1"/>
  <c r="C51" i="1"/>
  <c r="D51" i="1"/>
  <c r="W45" i="2" l="1"/>
  <c r="C46" i="2"/>
  <c r="E45" i="2"/>
  <c r="F45" i="2" s="1"/>
  <c r="D46" i="2"/>
  <c r="C52" i="1"/>
  <c r="D52" i="1"/>
  <c r="E51" i="1"/>
  <c r="F51" i="1" s="1"/>
  <c r="D47" i="2" l="1"/>
  <c r="E46" i="2"/>
  <c r="F46" i="2" s="1"/>
  <c r="C47" i="2"/>
  <c r="E52" i="1"/>
  <c r="F52" i="1" s="1"/>
  <c r="C53" i="1"/>
  <c r="D53" i="1"/>
  <c r="D48" i="2" l="1"/>
  <c r="C48" i="2"/>
  <c r="E47" i="2"/>
  <c r="F47" i="2" s="1"/>
  <c r="C54" i="1"/>
  <c r="D54" i="1"/>
  <c r="E53" i="1"/>
  <c r="F53" i="1" s="1"/>
  <c r="D49" i="2" l="1"/>
  <c r="C49" i="2"/>
  <c r="E48" i="2"/>
  <c r="F48" i="2" s="1"/>
  <c r="E54" i="1"/>
  <c r="F54" i="1" s="1"/>
  <c r="C55" i="1"/>
  <c r="D55" i="1"/>
  <c r="D50" i="2" l="1"/>
  <c r="C50" i="2"/>
  <c r="E49" i="2"/>
  <c r="F49" i="2" s="1"/>
  <c r="C56" i="1"/>
  <c r="D56" i="1"/>
  <c r="E55" i="1"/>
  <c r="F55" i="1" s="1"/>
  <c r="D51" i="2" l="1"/>
  <c r="C51" i="2"/>
  <c r="E50" i="2"/>
  <c r="F50" i="2" s="1"/>
  <c r="E56" i="1"/>
  <c r="F56" i="1" s="1"/>
  <c r="C57" i="1"/>
  <c r="D57" i="1"/>
  <c r="D52" i="2" l="1"/>
  <c r="C52" i="2"/>
  <c r="E51" i="2"/>
  <c r="F51" i="2" s="1"/>
  <c r="C58" i="1"/>
  <c r="D58" i="1"/>
  <c r="E57" i="1"/>
  <c r="F57" i="1" s="1"/>
  <c r="D53" i="2" l="1"/>
  <c r="C53" i="2"/>
  <c r="E52" i="2"/>
  <c r="F52" i="2" s="1"/>
  <c r="E58" i="1"/>
  <c r="F58" i="1" s="1"/>
  <c r="C59" i="1"/>
  <c r="D59" i="1"/>
  <c r="L46" i="2" l="1"/>
  <c r="D54" i="2"/>
  <c r="C54" i="2"/>
  <c r="E53" i="2"/>
  <c r="F53" i="2" s="1"/>
  <c r="C60" i="1"/>
  <c r="D60" i="1"/>
  <c r="E59" i="1"/>
  <c r="F59" i="1" s="1"/>
  <c r="G46" i="2" l="1"/>
  <c r="W50" i="2" s="1"/>
  <c r="D55" i="2"/>
  <c r="C55" i="2"/>
  <c r="E54" i="2"/>
  <c r="F54" i="2" s="1"/>
  <c r="E60" i="1"/>
  <c r="F60" i="1" s="1"/>
  <c r="C61" i="1"/>
  <c r="D61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62" i="1"/>
  <c r="D62" i="1"/>
  <c r="E61" i="1"/>
  <c r="F61" i="1" s="1"/>
  <c r="D57" i="2" l="1"/>
  <c r="C57" i="2"/>
  <c r="W57" i="2" s="1"/>
  <c r="E56" i="2"/>
  <c r="F56" i="2" s="1"/>
  <c r="E62" i="1"/>
  <c r="F62" i="1" s="1"/>
  <c r="C63" i="1"/>
  <c r="D63" i="1"/>
  <c r="D58" i="2" l="1"/>
  <c r="C58" i="2"/>
  <c r="E57" i="2"/>
  <c r="F57" i="2" s="1"/>
  <c r="C64" i="1"/>
  <c r="D64" i="1"/>
  <c r="E63" i="1"/>
  <c r="F63" i="1" s="1"/>
  <c r="C59" i="2" l="1"/>
  <c r="D59" i="2"/>
  <c r="E58" i="2"/>
  <c r="F58" i="2" s="1"/>
  <c r="E64" i="1"/>
  <c r="F64" i="1" s="1"/>
  <c r="C65" i="1"/>
  <c r="D65" i="1"/>
  <c r="C60" i="2" l="1"/>
  <c r="E59" i="2"/>
  <c r="F59" i="2" s="1"/>
  <c r="D60" i="2"/>
  <c r="C66" i="1"/>
  <c r="D66" i="1"/>
  <c r="E65" i="1"/>
  <c r="F65" i="1" s="1"/>
  <c r="C61" i="2" l="1"/>
  <c r="E60" i="2"/>
  <c r="F60" i="2" s="1"/>
  <c r="D61" i="2"/>
  <c r="E66" i="1"/>
  <c r="F66" i="1" s="1"/>
  <c r="C67" i="1"/>
  <c r="D67" i="1"/>
  <c r="C62" i="2" l="1"/>
  <c r="E61" i="2"/>
  <c r="F61" i="2" s="1"/>
  <c r="D62" i="2"/>
  <c r="C68" i="1"/>
  <c r="D68" i="1"/>
  <c r="E67" i="1"/>
  <c r="F67" i="1" s="1"/>
  <c r="C63" i="2" l="1"/>
  <c r="E62" i="2"/>
  <c r="F62" i="2" s="1"/>
  <c r="D63" i="2"/>
  <c r="E68" i="1"/>
  <c r="F68" i="1" s="1"/>
  <c r="C69" i="1"/>
  <c r="D69" i="1"/>
  <c r="C64" i="2" l="1"/>
  <c r="E63" i="2"/>
  <c r="F63" i="2" s="1"/>
  <c r="D64" i="2"/>
  <c r="C70" i="1"/>
  <c r="D70" i="1"/>
  <c r="E69" i="1"/>
  <c r="F69" i="1" s="1"/>
  <c r="C65" i="2" l="1"/>
  <c r="E64" i="2"/>
  <c r="F64" i="2" s="1"/>
  <c r="D65" i="2"/>
  <c r="E70" i="1"/>
  <c r="F70" i="1" s="1"/>
  <c r="C71" i="1"/>
  <c r="D71" i="1"/>
  <c r="L58" i="2" l="1"/>
  <c r="C66" i="2"/>
  <c r="E65" i="2"/>
  <c r="F65" i="2" s="1"/>
  <c r="D66" i="2"/>
  <c r="C72" i="1"/>
  <c r="D72" i="1"/>
  <c r="E71" i="1"/>
  <c r="F71" i="1" s="1"/>
  <c r="G58" i="2" l="1"/>
  <c r="W61" i="2" s="1"/>
  <c r="C67" i="2"/>
  <c r="E66" i="2"/>
  <c r="F66" i="2" s="1"/>
  <c r="D67" i="2"/>
  <c r="E72" i="1"/>
  <c r="F72" i="1" s="1"/>
  <c r="C73" i="1"/>
  <c r="D73" i="1"/>
  <c r="W59" i="2" l="1"/>
  <c r="W63" i="2"/>
  <c r="W62" i="2"/>
  <c r="W58" i="2"/>
  <c r="W67" i="2"/>
  <c r="W64" i="2"/>
  <c r="W60" i="2"/>
  <c r="W66" i="2"/>
  <c r="W65" i="2"/>
  <c r="C68" i="2"/>
  <c r="W68" i="2" s="1"/>
  <c r="E67" i="2"/>
  <c r="F67" i="2" s="1"/>
  <c r="D68" i="2"/>
  <c r="C74" i="1"/>
  <c r="D74" i="1"/>
  <c r="E73" i="1"/>
  <c r="F73" i="1" s="1"/>
  <c r="C69" i="2" l="1"/>
  <c r="W69" i="2" s="1"/>
  <c r="E68" i="2"/>
  <c r="F68" i="2" s="1"/>
  <c r="D69" i="2"/>
  <c r="E74" i="1"/>
  <c r="F74" i="1" s="1"/>
  <c r="C75" i="1"/>
  <c r="D75" i="1"/>
  <c r="C70" i="2" l="1"/>
  <c r="E69" i="2"/>
  <c r="F69" i="2" s="1"/>
  <c r="D70" i="2"/>
  <c r="C76" i="1"/>
  <c r="D76" i="1"/>
  <c r="E75" i="1"/>
  <c r="F75" i="1" s="1"/>
  <c r="D71" i="2" l="1"/>
  <c r="E70" i="2"/>
  <c r="F70" i="2" s="1"/>
  <c r="C71" i="2"/>
  <c r="E76" i="1"/>
  <c r="F76" i="1" s="1"/>
  <c r="C77" i="1"/>
  <c r="D77" i="1"/>
  <c r="D72" i="2" l="1"/>
  <c r="C72" i="2"/>
  <c r="E71" i="2"/>
  <c r="F71" i="2" s="1"/>
  <c r="C78" i="1"/>
  <c r="D78" i="1"/>
  <c r="E77" i="1"/>
  <c r="F77" i="1" s="1"/>
  <c r="D73" i="2" l="1"/>
  <c r="C73" i="2"/>
  <c r="E72" i="2"/>
  <c r="F72" i="2" s="1"/>
  <c r="E78" i="1"/>
  <c r="F78" i="1" s="1"/>
  <c r="C79" i="1"/>
  <c r="D79" i="1"/>
  <c r="D74" i="2" l="1"/>
  <c r="C74" i="2"/>
  <c r="E73" i="2"/>
  <c r="F73" i="2" s="1"/>
  <c r="C80" i="1"/>
  <c r="D80" i="1"/>
  <c r="E79" i="1"/>
  <c r="F79" i="1" s="1"/>
  <c r="D75" i="2" l="1"/>
  <c r="C75" i="2"/>
  <c r="E74" i="2"/>
  <c r="F74" i="2" s="1"/>
  <c r="E80" i="1"/>
  <c r="F80" i="1" s="1"/>
  <c r="C81" i="1"/>
  <c r="D81" i="1"/>
  <c r="D76" i="2" l="1"/>
  <c r="C76" i="2"/>
  <c r="E75" i="2"/>
  <c r="F75" i="2" s="1"/>
  <c r="C82" i="1"/>
  <c r="D82" i="1"/>
  <c r="E81" i="1"/>
  <c r="F81" i="1" s="1"/>
  <c r="D77" i="2" l="1"/>
  <c r="C77" i="2"/>
  <c r="E76" i="2"/>
  <c r="F76" i="2" s="1"/>
  <c r="E82" i="1"/>
  <c r="F82" i="1" s="1"/>
  <c r="C83" i="1"/>
  <c r="D83" i="1"/>
  <c r="L70" i="2" l="1"/>
  <c r="D78" i="2"/>
  <c r="C78" i="2"/>
  <c r="E77" i="2"/>
  <c r="F77" i="2" s="1"/>
  <c r="D84" i="1"/>
  <c r="E83" i="1"/>
  <c r="F83" i="1" s="1"/>
  <c r="G70" i="2" l="1"/>
  <c r="W73" i="2" s="1"/>
  <c r="D79" i="2"/>
  <c r="C79" i="2"/>
  <c r="E78" i="2"/>
  <c r="F78" i="2" s="1"/>
  <c r="W75" i="2" l="1"/>
  <c r="W74" i="2"/>
  <c r="W71" i="2"/>
  <c r="W70" i="2"/>
  <c r="W79" i="2"/>
  <c r="W76" i="2"/>
  <c r="W72" i="2"/>
  <c r="W78" i="2"/>
  <c r="W77" i="2"/>
  <c r="D80" i="2"/>
  <c r="C80" i="2"/>
  <c r="W80" i="2" s="1"/>
  <c r="E79" i="2"/>
  <c r="F79" i="2" s="1"/>
  <c r="C84" i="1"/>
  <c r="D81" i="2" l="1"/>
  <c r="C81" i="2"/>
  <c r="W81" i="2" s="1"/>
  <c r="E80" i="2"/>
  <c r="F80" i="2" s="1"/>
  <c r="C85" i="1"/>
  <c r="E84" i="1"/>
  <c r="F84" i="1" s="1"/>
  <c r="D85" i="1"/>
  <c r="E45" i="1"/>
  <c r="E44" i="1"/>
  <c r="D45" i="1"/>
  <c r="D82" i="2" l="1"/>
  <c r="C82" i="2"/>
  <c r="E81" i="2"/>
  <c r="F81" i="2" s="1"/>
  <c r="I44" i="1"/>
  <c r="C86" i="1"/>
  <c r="D86" i="1"/>
  <c r="E85" i="1"/>
  <c r="F85" i="1" s="1"/>
  <c r="J104" i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K45" i="1" l="1"/>
  <c r="G45" i="1" s="1"/>
  <c r="C83" i="2"/>
  <c r="D83" i="2"/>
  <c r="E82" i="2"/>
  <c r="F82" i="2" s="1"/>
  <c r="C87" i="1"/>
  <c r="E86" i="1"/>
  <c r="F86" i="1" s="1"/>
  <c r="D87" i="1"/>
  <c r="F45" i="1"/>
  <c r="C84" i="2" l="1"/>
  <c r="E83" i="2"/>
  <c r="F83" i="2" s="1"/>
  <c r="D84" i="2"/>
  <c r="C88" i="1"/>
  <c r="D88" i="1"/>
  <c r="E87" i="1"/>
  <c r="F87" i="1" s="1"/>
  <c r="C85" i="2" l="1"/>
  <c r="E84" i="2"/>
  <c r="F84" i="2" s="1"/>
  <c r="D85" i="2"/>
  <c r="C89" i="1"/>
  <c r="E88" i="1"/>
  <c r="F88" i="1" s="1"/>
  <c r="D89" i="1"/>
  <c r="I45" i="1"/>
  <c r="K46" i="1" s="1"/>
  <c r="C86" i="2" l="1"/>
  <c r="E85" i="2"/>
  <c r="F85" i="2" s="1"/>
  <c r="D86" i="2"/>
  <c r="I46" i="1"/>
  <c r="G46" i="1"/>
  <c r="C90" i="1"/>
  <c r="D90" i="1"/>
  <c r="E89" i="1"/>
  <c r="F89" i="1" s="1"/>
  <c r="C43" i="1"/>
  <c r="D44" i="1" s="1"/>
  <c r="C87" i="2" l="1"/>
  <c r="E86" i="2"/>
  <c r="F86" i="2" s="1"/>
  <c r="D87" i="2"/>
  <c r="I47" i="1"/>
  <c r="K47" i="1"/>
  <c r="G47" i="1" s="1"/>
  <c r="C91" i="1"/>
  <c r="E90" i="1"/>
  <c r="F90" i="1" s="1"/>
  <c r="D91" i="1"/>
  <c r="L44" i="1"/>
  <c r="L45" i="1"/>
  <c r="S284" i="1"/>
  <c r="N284" i="1"/>
  <c r="F44" i="1"/>
  <c r="P43" i="1"/>
  <c r="P284" i="1" s="1"/>
  <c r="Q43" i="1"/>
  <c r="Q284" i="1" s="1"/>
  <c r="R43" i="1"/>
  <c r="R284" i="1" s="1"/>
  <c r="T43" i="1"/>
  <c r="T284" i="1" s="1"/>
  <c r="V284" i="1"/>
  <c r="C88" i="2" l="1"/>
  <c r="E87" i="2"/>
  <c r="F87" i="2" s="1"/>
  <c r="D88" i="2"/>
  <c r="I48" i="1"/>
  <c r="K48" i="1"/>
  <c r="G48" i="1" s="1"/>
  <c r="C92" i="1"/>
  <c r="D92" i="1"/>
  <c r="E91" i="1"/>
  <c r="F91" i="1" s="1"/>
  <c r="K44" i="1"/>
  <c r="G44" i="1" s="1"/>
  <c r="C89" i="2" l="1"/>
  <c r="E88" i="2"/>
  <c r="F88" i="2" s="1"/>
  <c r="D89" i="2"/>
  <c r="I49" i="1"/>
  <c r="K49" i="1"/>
  <c r="G49" i="1" s="1"/>
  <c r="C93" i="1"/>
  <c r="E92" i="1"/>
  <c r="F92" i="1" s="1"/>
  <c r="D93" i="1"/>
  <c r="L82" i="2" l="1"/>
  <c r="C90" i="2"/>
  <c r="E89" i="2"/>
  <c r="F89" i="2" s="1"/>
  <c r="D90" i="2"/>
  <c r="K50" i="1"/>
  <c r="G50" i="1" s="1"/>
  <c r="I50" i="1"/>
  <c r="C94" i="1"/>
  <c r="D94" i="1"/>
  <c r="E93" i="1"/>
  <c r="F93" i="1" s="1"/>
  <c r="G82" i="2" l="1"/>
  <c r="W85" i="2" s="1"/>
  <c r="C91" i="2"/>
  <c r="E90" i="2"/>
  <c r="F90" i="2" s="1"/>
  <c r="D91" i="2"/>
  <c r="K51" i="1"/>
  <c r="G51" i="1" s="1"/>
  <c r="I51" i="1"/>
  <c r="C95" i="1"/>
  <c r="E94" i="1"/>
  <c r="F94" i="1" s="1"/>
  <c r="D95" i="1"/>
  <c r="W87" i="2" l="1"/>
  <c r="W86" i="2"/>
  <c r="W91" i="2"/>
  <c r="W83" i="2"/>
  <c r="W82" i="2"/>
  <c r="W88" i="2"/>
  <c r="W84" i="2"/>
  <c r="W90" i="2"/>
  <c r="W89" i="2"/>
  <c r="C92" i="2"/>
  <c r="W92" i="2" s="1"/>
  <c r="E91" i="2"/>
  <c r="F91" i="2" s="1"/>
  <c r="D92" i="2"/>
  <c r="K52" i="1"/>
  <c r="G52" i="1" s="1"/>
  <c r="I52" i="1"/>
  <c r="C96" i="1"/>
  <c r="D96" i="1"/>
  <c r="E95" i="1"/>
  <c r="F95" i="1" s="1"/>
  <c r="C93" i="2" l="1"/>
  <c r="W93" i="2" s="1"/>
  <c r="E92" i="2"/>
  <c r="F92" i="2" s="1"/>
  <c r="D93" i="2"/>
  <c r="K53" i="1"/>
  <c r="G53" i="1" s="1"/>
  <c r="I53" i="1"/>
  <c r="C97" i="1"/>
  <c r="E96" i="1"/>
  <c r="F96" i="1" s="1"/>
  <c r="D97" i="1"/>
  <c r="C94" i="2" l="1"/>
  <c r="E93" i="2"/>
  <c r="F93" i="2" s="1"/>
  <c r="D94" i="2"/>
  <c r="K54" i="1"/>
  <c r="G54" i="1" s="1"/>
  <c r="I54" i="1"/>
  <c r="C98" i="1"/>
  <c r="D98" i="1"/>
  <c r="E97" i="1"/>
  <c r="F97" i="1" s="1"/>
  <c r="D95" i="2" l="1"/>
  <c r="E94" i="2"/>
  <c r="F94" i="2" s="1"/>
  <c r="C95" i="2"/>
  <c r="K55" i="1"/>
  <c r="I55" i="1"/>
  <c r="C99" i="1"/>
  <c r="E98" i="1"/>
  <c r="F98" i="1" s="1"/>
  <c r="D99" i="1"/>
  <c r="D96" i="2" l="1"/>
  <c r="C96" i="2"/>
  <c r="E95" i="2"/>
  <c r="F95" i="2" s="1"/>
  <c r="L55" i="1"/>
  <c r="K56" i="1"/>
  <c r="G56" i="1" s="1"/>
  <c r="I56" i="1"/>
  <c r="C100" i="1"/>
  <c r="D100" i="1"/>
  <c r="E99" i="1"/>
  <c r="F99" i="1" s="1"/>
  <c r="D97" i="2" l="1"/>
  <c r="C97" i="2"/>
  <c r="E96" i="2"/>
  <c r="F96" i="2" s="1"/>
  <c r="K57" i="1"/>
  <c r="G57" i="1" s="1"/>
  <c r="I57" i="1"/>
  <c r="G55" i="1"/>
  <c r="C101" i="1"/>
  <c r="E100" i="1"/>
  <c r="F100" i="1" s="1"/>
  <c r="D101" i="1"/>
  <c r="D98" i="2" l="1"/>
  <c r="C98" i="2"/>
  <c r="E97" i="2"/>
  <c r="F97" i="2" s="1"/>
  <c r="K58" i="1"/>
  <c r="G58" i="1" s="1"/>
  <c r="I58" i="1"/>
  <c r="C102" i="1"/>
  <c r="D102" i="1"/>
  <c r="E101" i="1"/>
  <c r="F101" i="1" s="1"/>
  <c r="D99" i="2" l="1"/>
  <c r="C99" i="2"/>
  <c r="E98" i="2"/>
  <c r="F98" i="2" s="1"/>
  <c r="K59" i="1"/>
  <c r="G59" i="1" s="1"/>
  <c r="I59" i="1"/>
  <c r="C103" i="1"/>
  <c r="E102" i="1"/>
  <c r="F102" i="1" s="1"/>
  <c r="D103" i="1"/>
  <c r="D100" i="2" l="1"/>
  <c r="C100" i="2"/>
  <c r="E99" i="2"/>
  <c r="F99" i="2" s="1"/>
  <c r="K60" i="1"/>
  <c r="G60" i="1" s="1"/>
  <c r="I60" i="1"/>
  <c r="D104" i="1"/>
  <c r="E103" i="1"/>
  <c r="F103" i="1" s="1"/>
  <c r="C104" i="1"/>
  <c r="L94" i="2" l="1"/>
  <c r="D101" i="2"/>
  <c r="C101" i="2"/>
  <c r="E100" i="2"/>
  <c r="F100" i="2" s="1"/>
  <c r="K61" i="1"/>
  <c r="G61" i="1" s="1"/>
  <c r="I61" i="1"/>
  <c r="E104" i="1"/>
  <c r="F104" i="1" s="1"/>
  <c r="D105" i="1"/>
  <c r="C105" i="1"/>
  <c r="G94" i="2" l="1"/>
  <c r="W94" i="2" s="1"/>
  <c r="W97" i="2"/>
  <c r="W101" i="2"/>
  <c r="W98" i="2"/>
  <c r="W95" i="2"/>
  <c r="W96" i="2"/>
  <c r="W99" i="2"/>
  <c r="W100" i="2"/>
  <c r="D102" i="2"/>
  <c r="C102" i="2"/>
  <c r="E101" i="2"/>
  <c r="F101" i="2" s="1"/>
  <c r="K62" i="1"/>
  <c r="G62" i="1" s="1"/>
  <c r="I62" i="1"/>
  <c r="D106" i="1"/>
  <c r="E105" i="1"/>
  <c r="F105" i="1" s="1"/>
  <c r="C106" i="1"/>
  <c r="W102" i="2" l="1"/>
  <c r="D103" i="2"/>
  <c r="C103" i="2"/>
  <c r="W103" i="2" s="1"/>
  <c r="E102" i="2"/>
  <c r="F102" i="2" s="1"/>
  <c r="K63" i="1"/>
  <c r="G63" i="1" s="1"/>
  <c r="I63" i="1"/>
  <c r="E106" i="1"/>
  <c r="F106" i="1" s="1"/>
  <c r="D107" i="1"/>
  <c r="C107" i="1"/>
  <c r="C104" i="2" l="1"/>
  <c r="W104" i="2" s="1"/>
  <c r="D104" i="2"/>
  <c r="E103" i="2"/>
  <c r="F103" i="2" s="1"/>
  <c r="K64" i="1"/>
  <c r="G64" i="1" s="1"/>
  <c r="I64" i="1"/>
  <c r="D108" i="1"/>
  <c r="E107" i="1"/>
  <c r="F107" i="1" s="1"/>
  <c r="C108" i="1"/>
  <c r="C105" i="2" l="1"/>
  <c r="W105" i="2" s="1"/>
  <c r="E104" i="2"/>
  <c r="F104" i="2" s="1"/>
  <c r="D105" i="2"/>
  <c r="K65" i="1"/>
  <c r="G65" i="1" s="1"/>
  <c r="I65" i="1"/>
  <c r="E108" i="1"/>
  <c r="F108" i="1" s="1"/>
  <c r="D109" i="1"/>
  <c r="C109" i="1"/>
  <c r="C106" i="2" l="1"/>
  <c r="E105" i="2"/>
  <c r="F105" i="2" s="1"/>
  <c r="D106" i="2"/>
  <c r="K66" i="1"/>
  <c r="G66" i="1" s="1"/>
  <c r="I66" i="1"/>
  <c r="D110" i="1"/>
  <c r="E109" i="1"/>
  <c r="F109" i="1" s="1"/>
  <c r="C110" i="1"/>
  <c r="D107" i="2" l="1"/>
  <c r="E106" i="2"/>
  <c r="F106" i="2" s="1"/>
  <c r="C107" i="2"/>
  <c r="K67" i="1"/>
  <c r="I67" i="1"/>
  <c r="E110" i="1"/>
  <c r="F110" i="1" s="1"/>
  <c r="D111" i="1"/>
  <c r="C111" i="1"/>
  <c r="D108" i="2" l="1"/>
  <c r="C108" i="2"/>
  <c r="E107" i="2"/>
  <c r="F107" i="2" s="1"/>
  <c r="L67" i="1"/>
  <c r="K68" i="1"/>
  <c r="G68" i="1" s="1"/>
  <c r="I68" i="1"/>
  <c r="D112" i="1"/>
  <c r="E111" i="1"/>
  <c r="F111" i="1" s="1"/>
  <c r="C112" i="1"/>
  <c r="D109" i="2" l="1"/>
  <c r="C109" i="2"/>
  <c r="E108" i="2"/>
  <c r="F108" i="2" s="1"/>
  <c r="K69" i="1"/>
  <c r="G69" i="1" s="1"/>
  <c r="I69" i="1"/>
  <c r="G67" i="1"/>
  <c r="E112" i="1"/>
  <c r="F112" i="1" s="1"/>
  <c r="D113" i="1"/>
  <c r="C113" i="1"/>
  <c r="D110" i="2" l="1"/>
  <c r="C110" i="2"/>
  <c r="E109" i="2"/>
  <c r="F109" i="2" s="1"/>
  <c r="K70" i="1"/>
  <c r="G70" i="1" s="1"/>
  <c r="I70" i="1"/>
  <c r="D114" i="1"/>
  <c r="E113" i="1"/>
  <c r="F113" i="1" s="1"/>
  <c r="C114" i="1"/>
  <c r="D111" i="2" l="1"/>
  <c r="C111" i="2"/>
  <c r="E110" i="2"/>
  <c r="F110" i="2" s="1"/>
  <c r="K71" i="1"/>
  <c r="G71" i="1" s="1"/>
  <c r="I71" i="1"/>
  <c r="D115" i="1"/>
  <c r="E114" i="1"/>
  <c r="F114" i="1" s="1"/>
  <c r="C115" i="1"/>
  <c r="D112" i="2" l="1"/>
  <c r="C112" i="2"/>
  <c r="E111" i="2"/>
  <c r="F111" i="2" s="1"/>
  <c r="K72" i="1"/>
  <c r="G72" i="1" s="1"/>
  <c r="I72" i="1"/>
  <c r="E115" i="1"/>
  <c r="F115" i="1" s="1"/>
  <c r="D116" i="1"/>
  <c r="C116" i="1"/>
  <c r="U106" i="2" l="1"/>
  <c r="L106" i="2" s="1"/>
  <c r="D113" i="2"/>
  <c r="C113" i="2"/>
  <c r="E112" i="2"/>
  <c r="F112" i="2" s="1"/>
  <c r="K73" i="1"/>
  <c r="G73" i="1" s="1"/>
  <c r="I73" i="1"/>
  <c r="E116" i="1"/>
  <c r="F116" i="1" s="1"/>
  <c r="D117" i="1"/>
  <c r="C117" i="1"/>
  <c r="G106" i="2" l="1"/>
  <c r="W113" i="2" s="1"/>
  <c r="W111" i="2"/>
  <c r="D114" i="2"/>
  <c r="C114" i="2"/>
  <c r="W114" i="2" s="1"/>
  <c r="E113" i="2"/>
  <c r="F113" i="2" s="1"/>
  <c r="K74" i="1"/>
  <c r="G74" i="1" s="1"/>
  <c r="I74" i="1"/>
  <c r="E117" i="1"/>
  <c r="F117" i="1" s="1"/>
  <c r="D118" i="1"/>
  <c r="C118" i="1"/>
  <c r="W112" i="2" l="1"/>
  <c r="W107" i="2"/>
  <c r="W108" i="2"/>
  <c r="W110" i="2"/>
  <c r="W106" i="2"/>
  <c r="W109" i="2"/>
  <c r="D115" i="2"/>
  <c r="C115" i="2"/>
  <c r="W115" i="2" s="1"/>
  <c r="E114" i="2"/>
  <c r="F114" i="2" s="1"/>
  <c r="K75" i="1"/>
  <c r="G75" i="1" s="1"/>
  <c r="I75" i="1"/>
  <c r="E118" i="1"/>
  <c r="F118" i="1" s="1"/>
  <c r="D119" i="1"/>
  <c r="C119" i="1"/>
  <c r="D116" i="2" l="1"/>
  <c r="C116" i="2"/>
  <c r="E115" i="2"/>
  <c r="F115" i="2" s="1"/>
  <c r="K76" i="1"/>
  <c r="G76" i="1" s="1"/>
  <c r="I76" i="1"/>
  <c r="E119" i="1"/>
  <c r="F119" i="1" s="1"/>
  <c r="D120" i="1"/>
  <c r="C120" i="1"/>
  <c r="W116" i="2" l="1"/>
  <c r="D117" i="2"/>
  <c r="C117" i="2"/>
  <c r="W117" i="2" s="1"/>
  <c r="E116" i="2"/>
  <c r="F116" i="2" s="1"/>
  <c r="K77" i="1"/>
  <c r="G77" i="1" s="1"/>
  <c r="I77" i="1"/>
  <c r="E120" i="1"/>
  <c r="F120" i="1" s="1"/>
  <c r="D121" i="1"/>
  <c r="C121" i="1"/>
  <c r="D118" i="2" l="1"/>
  <c r="C118" i="2"/>
  <c r="E117" i="2"/>
  <c r="F117" i="2" s="1"/>
  <c r="K78" i="1"/>
  <c r="G78" i="1" s="1"/>
  <c r="I78" i="1"/>
  <c r="E121" i="1"/>
  <c r="F121" i="1" s="1"/>
  <c r="D122" i="1"/>
  <c r="C122" i="1"/>
  <c r="M284" i="1"/>
  <c r="C119" i="2" l="1"/>
  <c r="D119" i="2"/>
  <c r="E118" i="2"/>
  <c r="F118" i="2" s="1"/>
  <c r="K79" i="1"/>
  <c r="I79" i="1"/>
  <c r="D123" i="1"/>
  <c r="E122" i="1"/>
  <c r="F122" i="1" s="1"/>
  <c r="C123" i="1"/>
  <c r="C120" i="2" l="1"/>
  <c r="D120" i="2"/>
  <c r="E119" i="2"/>
  <c r="F119" i="2" s="1"/>
  <c r="L79" i="1"/>
  <c r="G79" i="1" s="1"/>
  <c r="K80" i="1"/>
  <c r="G80" i="1" s="1"/>
  <c r="I80" i="1"/>
  <c r="E123" i="1"/>
  <c r="F123" i="1" s="1"/>
  <c r="D124" i="1"/>
  <c r="C124" i="1"/>
  <c r="C121" i="2" l="1"/>
  <c r="E120" i="2"/>
  <c r="F120" i="2" s="1"/>
  <c r="D121" i="2"/>
  <c r="K81" i="1"/>
  <c r="G81" i="1" s="1"/>
  <c r="I81" i="1"/>
  <c r="E124" i="1"/>
  <c r="F124" i="1" s="1"/>
  <c r="D125" i="1"/>
  <c r="C125" i="1"/>
  <c r="C122" i="2" l="1"/>
  <c r="E121" i="2"/>
  <c r="F121" i="2" s="1"/>
  <c r="D122" i="2"/>
  <c r="K82" i="1"/>
  <c r="G82" i="1" s="1"/>
  <c r="I82" i="1"/>
  <c r="E125" i="1"/>
  <c r="F125" i="1" s="1"/>
  <c r="D126" i="1"/>
  <c r="C126" i="1"/>
  <c r="C123" i="2" l="1"/>
  <c r="E122" i="2"/>
  <c r="F122" i="2" s="1"/>
  <c r="D123" i="2"/>
  <c r="K83" i="1"/>
  <c r="G83" i="1" s="1"/>
  <c r="I83" i="1"/>
  <c r="D127" i="1"/>
  <c r="E126" i="1"/>
  <c r="F126" i="1" s="1"/>
  <c r="C127" i="1"/>
  <c r="C124" i="2" l="1"/>
  <c r="E123" i="2"/>
  <c r="F123" i="2" s="1"/>
  <c r="D124" i="2"/>
  <c r="K84" i="1"/>
  <c r="G84" i="1" s="1"/>
  <c r="I84" i="1"/>
  <c r="E127" i="1"/>
  <c r="F127" i="1" s="1"/>
  <c r="D128" i="1"/>
  <c r="C128" i="1"/>
  <c r="U118" i="2" l="1"/>
  <c r="L118" i="2" s="1"/>
  <c r="G118" i="2" s="1"/>
  <c r="C125" i="2"/>
  <c r="E124" i="2"/>
  <c r="F124" i="2" s="1"/>
  <c r="D125" i="2"/>
  <c r="K85" i="1"/>
  <c r="G85" i="1" s="1"/>
  <c r="I85" i="1"/>
  <c r="E128" i="1"/>
  <c r="F128" i="1" s="1"/>
  <c r="D129" i="1"/>
  <c r="C129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86" i="1"/>
  <c r="G86" i="1" s="1"/>
  <c r="I86" i="1"/>
  <c r="E129" i="1"/>
  <c r="F129" i="1" s="1"/>
  <c r="D130" i="1"/>
  <c r="C130" i="1"/>
  <c r="C127" i="2" l="1"/>
  <c r="W127" i="2" s="1"/>
  <c r="E126" i="2"/>
  <c r="F126" i="2" s="1"/>
  <c r="D127" i="2"/>
  <c r="K87" i="1"/>
  <c r="G87" i="1" s="1"/>
  <c r="I87" i="1"/>
  <c r="D131" i="1"/>
  <c r="E130" i="1"/>
  <c r="F130" i="1" s="1"/>
  <c r="C131" i="1"/>
  <c r="C128" i="2" l="1"/>
  <c r="E127" i="2"/>
  <c r="F127" i="2" s="1"/>
  <c r="D128" i="2"/>
  <c r="K88" i="1"/>
  <c r="G88" i="1" s="1"/>
  <c r="I88" i="1"/>
  <c r="E131" i="1"/>
  <c r="F131" i="1" s="1"/>
  <c r="D132" i="1"/>
  <c r="C132" i="1"/>
  <c r="W128" i="2" l="1"/>
  <c r="C129" i="2"/>
  <c r="W129" i="2" s="1"/>
  <c r="E128" i="2"/>
  <c r="F128" i="2" s="1"/>
  <c r="D129" i="2"/>
  <c r="K89" i="1"/>
  <c r="G89" i="1" s="1"/>
  <c r="I89" i="1"/>
  <c r="E132" i="1"/>
  <c r="F132" i="1" s="1"/>
  <c r="D133" i="1"/>
  <c r="C133" i="1"/>
  <c r="C130" i="2" l="1"/>
  <c r="E129" i="2"/>
  <c r="F129" i="2" s="1"/>
  <c r="D130" i="2"/>
  <c r="K90" i="1"/>
  <c r="G90" i="1" s="1"/>
  <c r="I90" i="1"/>
  <c r="E133" i="1"/>
  <c r="F133" i="1" s="1"/>
  <c r="D134" i="1"/>
  <c r="C134" i="1"/>
  <c r="D131" i="2" l="1"/>
  <c r="E130" i="2"/>
  <c r="F130" i="2" s="1"/>
  <c r="C131" i="2"/>
  <c r="K91" i="1"/>
  <c r="I91" i="1"/>
  <c r="D135" i="1"/>
  <c r="E134" i="1"/>
  <c r="F134" i="1" s="1"/>
  <c r="C135" i="1"/>
  <c r="D132" i="2" l="1"/>
  <c r="C132" i="2"/>
  <c r="E131" i="2"/>
  <c r="F131" i="2" s="1"/>
  <c r="L91" i="1"/>
  <c r="K92" i="1"/>
  <c r="G92" i="1" s="1"/>
  <c r="I92" i="1"/>
  <c r="E135" i="1"/>
  <c r="F135" i="1" s="1"/>
  <c r="D136" i="1"/>
  <c r="C136" i="1"/>
  <c r="D133" i="2" l="1"/>
  <c r="C133" i="2"/>
  <c r="E132" i="2"/>
  <c r="F132" i="2" s="1"/>
  <c r="K93" i="1"/>
  <c r="G93" i="1" s="1"/>
  <c r="I93" i="1"/>
  <c r="G91" i="1"/>
  <c r="E136" i="1"/>
  <c r="F136" i="1" s="1"/>
  <c r="D137" i="1"/>
  <c r="C137" i="1"/>
  <c r="D134" i="2" l="1"/>
  <c r="C134" i="2"/>
  <c r="E133" i="2"/>
  <c r="F133" i="2" s="1"/>
  <c r="K94" i="1"/>
  <c r="G94" i="1" s="1"/>
  <c r="I94" i="1"/>
  <c r="E137" i="1"/>
  <c r="F137" i="1" s="1"/>
  <c r="D138" i="1"/>
  <c r="C138" i="1"/>
  <c r="D135" i="2" l="1"/>
  <c r="C135" i="2"/>
  <c r="E134" i="2"/>
  <c r="F134" i="2" s="1"/>
  <c r="K95" i="1"/>
  <c r="G95" i="1" s="1"/>
  <c r="I95" i="1"/>
  <c r="D139" i="1"/>
  <c r="E138" i="1"/>
  <c r="F138" i="1" s="1"/>
  <c r="C139" i="1"/>
  <c r="D136" i="2" l="1"/>
  <c r="C136" i="2"/>
  <c r="E135" i="2"/>
  <c r="F135" i="2" s="1"/>
  <c r="K96" i="1"/>
  <c r="G96" i="1" s="1"/>
  <c r="I96" i="1"/>
  <c r="E139" i="1"/>
  <c r="F139" i="1" s="1"/>
  <c r="D140" i="1"/>
  <c r="C140" i="1"/>
  <c r="U130" i="2" l="1"/>
  <c r="L130" i="2" s="1"/>
  <c r="G130" i="2" s="1"/>
  <c r="D137" i="2"/>
  <c r="C137" i="2"/>
  <c r="E136" i="2"/>
  <c r="F136" i="2" s="1"/>
  <c r="K97" i="1"/>
  <c r="G97" i="1" s="1"/>
  <c r="I97" i="1"/>
  <c r="E140" i="1"/>
  <c r="F140" i="1" s="1"/>
  <c r="D141" i="1"/>
  <c r="C141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8" i="1"/>
  <c r="G98" i="1" s="1"/>
  <c r="I98" i="1"/>
  <c r="E141" i="1"/>
  <c r="F141" i="1" s="1"/>
  <c r="D142" i="1"/>
  <c r="C142" i="1"/>
  <c r="D139" i="2" l="1"/>
  <c r="C139" i="2"/>
  <c r="W139" i="2" s="1"/>
  <c r="E138" i="2"/>
  <c r="F138" i="2" s="1"/>
  <c r="K99" i="1"/>
  <c r="G99" i="1" s="1"/>
  <c r="I99" i="1"/>
  <c r="D143" i="1"/>
  <c r="E142" i="1"/>
  <c r="F142" i="1" s="1"/>
  <c r="C143" i="1"/>
  <c r="D140" i="2" l="1"/>
  <c r="C140" i="2"/>
  <c r="W140" i="2" s="1"/>
  <c r="E139" i="2"/>
  <c r="F139" i="2" s="1"/>
  <c r="K100" i="1"/>
  <c r="G100" i="1" s="1"/>
  <c r="I100" i="1"/>
  <c r="E143" i="1"/>
  <c r="F143" i="1" s="1"/>
  <c r="D144" i="1"/>
  <c r="C144" i="1"/>
  <c r="D141" i="2" l="1"/>
  <c r="C141" i="2"/>
  <c r="W141" i="2" s="1"/>
  <c r="E140" i="2"/>
  <c r="F140" i="2" s="1"/>
  <c r="K101" i="1"/>
  <c r="G101" i="1" s="1"/>
  <c r="I101" i="1"/>
  <c r="E144" i="1"/>
  <c r="F144" i="1" s="1"/>
  <c r="D145" i="1"/>
  <c r="C145" i="1"/>
  <c r="D142" i="2" l="1"/>
  <c r="C142" i="2"/>
  <c r="E141" i="2"/>
  <c r="F141" i="2" s="1"/>
  <c r="K102" i="1"/>
  <c r="G102" i="1" s="1"/>
  <c r="I102" i="1"/>
  <c r="E145" i="1"/>
  <c r="F145" i="1" s="1"/>
  <c r="D146" i="1"/>
  <c r="C146" i="1"/>
  <c r="C143" i="2" l="1"/>
  <c r="D143" i="2"/>
  <c r="E142" i="2"/>
  <c r="F142" i="2" s="1"/>
  <c r="K103" i="1"/>
  <c r="D147" i="1"/>
  <c r="E146" i="1"/>
  <c r="F146" i="1" s="1"/>
  <c r="C147" i="1"/>
  <c r="C144" i="2" l="1"/>
  <c r="E143" i="2"/>
  <c r="F143" i="2" s="1"/>
  <c r="D144" i="2"/>
  <c r="E147" i="1"/>
  <c r="F147" i="1" s="1"/>
  <c r="D148" i="1"/>
  <c r="C148" i="1"/>
  <c r="C145" i="2" l="1"/>
  <c r="E144" i="2"/>
  <c r="F144" i="2" s="1"/>
  <c r="D145" i="2"/>
  <c r="E148" i="1"/>
  <c r="F148" i="1" s="1"/>
  <c r="D149" i="1"/>
  <c r="C149" i="1"/>
  <c r="C146" i="2" l="1"/>
  <c r="E145" i="2"/>
  <c r="F145" i="2" s="1"/>
  <c r="D146" i="2"/>
  <c r="E149" i="1"/>
  <c r="F149" i="1" s="1"/>
  <c r="D150" i="1"/>
  <c r="C150" i="1"/>
  <c r="C147" i="2" l="1"/>
  <c r="E146" i="2"/>
  <c r="F146" i="2" s="1"/>
  <c r="D147" i="2"/>
  <c r="D151" i="1"/>
  <c r="E150" i="1"/>
  <c r="F150" i="1" s="1"/>
  <c r="C151" i="1"/>
  <c r="C148" i="2" l="1"/>
  <c r="E147" i="2"/>
  <c r="F147" i="2" s="1"/>
  <c r="D148" i="2"/>
  <c r="E151" i="1"/>
  <c r="F151" i="1" s="1"/>
  <c r="D152" i="1"/>
  <c r="C152" i="1"/>
  <c r="U142" i="2" l="1"/>
  <c r="L142" i="2" s="1"/>
  <c r="G142" i="2" s="1"/>
  <c r="C149" i="2"/>
  <c r="E148" i="2"/>
  <c r="F148" i="2" s="1"/>
  <c r="D149" i="2"/>
  <c r="E152" i="1"/>
  <c r="F152" i="1" s="1"/>
  <c r="D153" i="1"/>
  <c r="C153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53" i="1"/>
  <c r="F153" i="1" s="1"/>
  <c r="D154" i="1"/>
  <c r="C154" i="1"/>
  <c r="C151" i="2" l="1"/>
  <c r="W151" i="2" s="1"/>
  <c r="E150" i="2"/>
  <c r="F150" i="2" s="1"/>
  <c r="D151" i="2"/>
  <c r="D155" i="1"/>
  <c r="E154" i="1"/>
  <c r="F154" i="1" s="1"/>
  <c r="C155" i="1"/>
  <c r="C152" i="2" l="1"/>
  <c r="W152" i="2" s="1"/>
  <c r="E151" i="2"/>
  <c r="F151" i="2" s="1"/>
  <c r="D152" i="2"/>
  <c r="E155" i="1"/>
  <c r="F155" i="1" s="1"/>
  <c r="D156" i="1"/>
  <c r="C156" i="1"/>
  <c r="C153" i="2" l="1"/>
  <c r="W153" i="2" s="1"/>
  <c r="E152" i="2"/>
  <c r="F152" i="2" s="1"/>
  <c r="D153" i="2"/>
  <c r="E156" i="1"/>
  <c r="F156" i="1" s="1"/>
  <c r="D157" i="1"/>
  <c r="C157" i="1"/>
  <c r="C154" i="2" l="1"/>
  <c r="E153" i="2"/>
  <c r="F153" i="2" s="1"/>
  <c r="D154" i="2"/>
  <c r="E157" i="1"/>
  <c r="F157" i="1" s="1"/>
  <c r="D158" i="1"/>
  <c r="C158" i="1"/>
  <c r="D155" i="2" l="1"/>
  <c r="E154" i="2"/>
  <c r="F154" i="2" s="1"/>
  <c r="C155" i="2"/>
  <c r="D159" i="1"/>
  <c r="E158" i="1"/>
  <c r="F158" i="1" s="1"/>
  <c r="C159" i="1"/>
  <c r="D156" i="2" l="1"/>
  <c r="E155" i="2"/>
  <c r="F155" i="2" s="1"/>
  <c r="C156" i="2"/>
  <c r="E159" i="1"/>
  <c r="F159" i="1" s="1"/>
  <c r="D160" i="1"/>
  <c r="C160" i="1"/>
  <c r="D157" i="2" l="1"/>
  <c r="C157" i="2"/>
  <c r="E156" i="2"/>
  <c r="F156" i="2" s="1"/>
  <c r="E160" i="1"/>
  <c r="F160" i="1" s="1"/>
  <c r="D161" i="1"/>
  <c r="C161" i="1"/>
  <c r="D158" i="2" l="1"/>
  <c r="E157" i="2"/>
  <c r="F157" i="2" s="1"/>
  <c r="C158" i="2"/>
  <c r="E161" i="1"/>
  <c r="F161" i="1" s="1"/>
  <c r="D162" i="1"/>
  <c r="C162" i="1"/>
  <c r="D159" i="2" l="1"/>
  <c r="C159" i="2"/>
  <c r="E158" i="2"/>
  <c r="F158" i="2" s="1"/>
  <c r="D163" i="1"/>
  <c r="E162" i="1"/>
  <c r="F162" i="1" s="1"/>
  <c r="C163" i="1"/>
  <c r="D160" i="2" l="1"/>
  <c r="E159" i="2"/>
  <c r="F159" i="2" s="1"/>
  <c r="C160" i="2"/>
  <c r="E163" i="1"/>
  <c r="F163" i="1" s="1"/>
  <c r="D164" i="1"/>
  <c r="C164" i="1"/>
  <c r="U154" i="2" l="1"/>
  <c r="D161" i="2"/>
  <c r="C161" i="2"/>
  <c r="E160" i="2"/>
  <c r="F160" i="2" s="1"/>
  <c r="D165" i="1"/>
  <c r="E164" i="1"/>
  <c r="F164" i="1" s="1"/>
  <c r="C165" i="1"/>
  <c r="L154" i="2" l="1"/>
  <c r="G154" i="2" s="1"/>
  <c r="D162" i="2"/>
  <c r="E161" i="2"/>
  <c r="F161" i="2" s="1"/>
  <c r="C162" i="2"/>
  <c r="W162" i="2" s="1"/>
  <c r="E165" i="1"/>
  <c r="F165" i="1" s="1"/>
  <c r="D166" i="1"/>
  <c r="C166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7" i="1"/>
  <c r="E166" i="1"/>
  <c r="F166" i="1" s="1"/>
  <c r="C167" i="1"/>
  <c r="D164" i="2" l="1"/>
  <c r="E163" i="2"/>
  <c r="F163" i="2" s="1"/>
  <c r="C164" i="2"/>
  <c r="E167" i="1"/>
  <c r="F167" i="1" s="1"/>
  <c r="D168" i="1"/>
  <c r="C168" i="1"/>
  <c r="W164" i="2" l="1"/>
  <c r="E164" i="2"/>
  <c r="F164" i="2" s="1"/>
  <c r="C165" i="2"/>
  <c r="W165" i="2" s="1"/>
  <c r="D165" i="2"/>
  <c r="D169" i="1"/>
  <c r="E168" i="1"/>
  <c r="F168" i="1" s="1"/>
  <c r="C169" i="1"/>
  <c r="C166" i="2" l="1"/>
  <c r="E165" i="2"/>
  <c r="F165" i="2" s="1"/>
  <c r="D166" i="2"/>
  <c r="E169" i="1"/>
  <c r="F169" i="1" s="1"/>
  <c r="D170" i="1"/>
  <c r="C170" i="1"/>
  <c r="C167" i="2" l="1"/>
  <c r="E166" i="2"/>
  <c r="F166" i="2" s="1"/>
  <c r="D167" i="2"/>
  <c r="D171" i="1"/>
  <c r="E170" i="1"/>
  <c r="F170" i="1" s="1"/>
  <c r="C171" i="1"/>
  <c r="D168" i="2" l="1"/>
  <c r="E167" i="2"/>
  <c r="F167" i="2" s="1"/>
  <c r="C168" i="2"/>
  <c r="E171" i="1"/>
  <c r="F171" i="1" s="1"/>
  <c r="D172" i="1"/>
  <c r="C172" i="1"/>
  <c r="C169" i="2" l="1"/>
  <c r="D169" i="2"/>
  <c r="E168" i="2"/>
  <c r="F168" i="2" s="1"/>
  <c r="D173" i="1"/>
  <c r="E172" i="1"/>
  <c r="F172" i="1" s="1"/>
  <c r="C173" i="1"/>
  <c r="D170" i="2" l="1"/>
  <c r="E169" i="2"/>
  <c r="F169" i="2" s="1"/>
  <c r="C170" i="2"/>
  <c r="E173" i="1"/>
  <c r="F173" i="1" s="1"/>
  <c r="D174" i="1"/>
  <c r="C174" i="1"/>
  <c r="C171" i="2" l="1"/>
  <c r="D171" i="2"/>
  <c r="E170" i="2"/>
  <c r="F170" i="2" s="1"/>
  <c r="D175" i="1"/>
  <c r="E174" i="1"/>
  <c r="F174" i="1" s="1"/>
  <c r="C175" i="1"/>
  <c r="D172" i="2" l="1"/>
  <c r="E171" i="2"/>
  <c r="F171" i="2" s="1"/>
  <c r="C172" i="2"/>
  <c r="E175" i="1"/>
  <c r="F175" i="1" s="1"/>
  <c r="D176" i="1"/>
  <c r="C176" i="1"/>
  <c r="U166" i="2" l="1"/>
  <c r="C173" i="2"/>
  <c r="D173" i="2"/>
  <c r="E172" i="2"/>
  <c r="F172" i="2" s="1"/>
  <c r="D177" i="1"/>
  <c r="E176" i="1"/>
  <c r="F176" i="1" s="1"/>
  <c r="C177" i="1"/>
  <c r="L166" i="2" l="1"/>
  <c r="G166" i="2" s="1"/>
  <c r="D174" i="2"/>
  <c r="E173" i="2"/>
  <c r="F173" i="2" s="1"/>
  <c r="C174" i="2"/>
  <c r="E177" i="1"/>
  <c r="F177" i="1" s="1"/>
  <c r="D178" i="1"/>
  <c r="C178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79" i="1"/>
  <c r="E178" i="1"/>
  <c r="F178" i="1" s="1"/>
  <c r="C179" i="1"/>
  <c r="D176" i="2" l="1"/>
  <c r="E175" i="2"/>
  <c r="F175" i="2" s="1"/>
  <c r="C176" i="2"/>
  <c r="W176" i="2" s="1"/>
  <c r="E179" i="1"/>
  <c r="F179" i="1" s="1"/>
  <c r="D180" i="1"/>
  <c r="C180" i="1"/>
  <c r="C177" i="2" l="1"/>
  <c r="W177" i="2" s="1"/>
  <c r="D177" i="2"/>
  <c r="E176" i="2"/>
  <c r="F176" i="2" s="1"/>
  <c r="D181" i="1"/>
  <c r="E180" i="1"/>
  <c r="F180" i="1" s="1"/>
  <c r="C181" i="1"/>
  <c r="D178" i="2" l="1"/>
  <c r="E177" i="2"/>
  <c r="F177" i="2" s="1"/>
  <c r="C178" i="2"/>
  <c r="E181" i="1"/>
  <c r="F181" i="1" s="1"/>
  <c r="D182" i="1"/>
  <c r="C182" i="1"/>
  <c r="D179" i="2" l="1"/>
  <c r="C179" i="2"/>
  <c r="E178" i="2"/>
  <c r="F178" i="2" s="1"/>
  <c r="D183" i="1"/>
  <c r="E182" i="1"/>
  <c r="F182" i="1" s="1"/>
  <c r="C183" i="1"/>
  <c r="C180" i="2" l="1"/>
  <c r="E179" i="2"/>
  <c r="F179" i="2" s="1"/>
  <c r="D180" i="2"/>
  <c r="E183" i="1"/>
  <c r="F183" i="1" s="1"/>
  <c r="D184" i="1"/>
  <c r="C184" i="1"/>
  <c r="D181" i="2" l="1"/>
  <c r="E180" i="2"/>
  <c r="F180" i="2" s="1"/>
  <c r="C181" i="2"/>
  <c r="D185" i="1"/>
  <c r="E184" i="1"/>
  <c r="F184" i="1" s="1"/>
  <c r="C185" i="1"/>
  <c r="C182" i="2" l="1"/>
  <c r="E181" i="2"/>
  <c r="F181" i="2" s="1"/>
  <c r="D182" i="2"/>
  <c r="E185" i="1"/>
  <c r="F185" i="1" s="1"/>
  <c r="D186" i="1"/>
  <c r="C186" i="1"/>
  <c r="D183" i="2" l="1"/>
  <c r="E182" i="2"/>
  <c r="F182" i="2" s="1"/>
  <c r="C183" i="2"/>
  <c r="D187" i="1"/>
  <c r="E186" i="1"/>
  <c r="F186" i="1" s="1"/>
  <c r="C187" i="1"/>
  <c r="C184" i="2" l="1"/>
  <c r="E183" i="2"/>
  <c r="F183" i="2" s="1"/>
  <c r="D184" i="2"/>
  <c r="E187" i="1"/>
  <c r="F187" i="1" s="1"/>
  <c r="D188" i="1"/>
  <c r="C188" i="1"/>
  <c r="D185" i="2" l="1"/>
  <c r="E184" i="2"/>
  <c r="F184" i="2" s="1"/>
  <c r="C185" i="2"/>
  <c r="U178" i="2"/>
  <c r="D189" i="1"/>
  <c r="E188" i="1"/>
  <c r="F188" i="1" s="1"/>
  <c r="C189" i="1"/>
  <c r="L178" i="2" l="1"/>
  <c r="G178" i="2" s="1"/>
  <c r="C186" i="2"/>
  <c r="E185" i="2"/>
  <c r="F185" i="2" s="1"/>
  <c r="D186" i="2"/>
  <c r="E189" i="1"/>
  <c r="F189" i="1" s="1"/>
  <c r="D190" i="1"/>
  <c r="C190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91" i="1"/>
  <c r="E190" i="1"/>
  <c r="F190" i="1" s="1"/>
  <c r="C191" i="1"/>
  <c r="C188" i="2" l="1"/>
  <c r="W188" i="2" s="1"/>
  <c r="E187" i="2"/>
  <c r="F187" i="2" s="1"/>
  <c r="D188" i="2"/>
  <c r="E191" i="1"/>
  <c r="F191" i="1" s="1"/>
  <c r="D192" i="1"/>
  <c r="C192" i="1"/>
  <c r="W189" i="2" l="1"/>
  <c r="D189" i="2"/>
  <c r="E188" i="2"/>
  <c r="F188" i="2" s="1"/>
  <c r="C189" i="2"/>
  <c r="D193" i="1"/>
  <c r="E192" i="1"/>
  <c r="F192" i="1" s="1"/>
  <c r="C193" i="1"/>
  <c r="C190" i="2" l="1"/>
  <c r="E189" i="2"/>
  <c r="F189" i="2" s="1"/>
  <c r="D190" i="2"/>
  <c r="E193" i="1"/>
  <c r="F193" i="1" s="1"/>
  <c r="D194" i="1"/>
  <c r="C194" i="1"/>
  <c r="C191" i="2" l="1"/>
  <c r="E190" i="2"/>
  <c r="F190" i="2" s="1"/>
  <c r="D191" i="2"/>
  <c r="D195" i="1"/>
  <c r="E194" i="1"/>
  <c r="F194" i="1" s="1"/>
  <c r="C195" i="1"/>
  <c r="D192" i="2" l="1"/>
  <c r="E191" i="2"/>
  <c r="F191" i="2" s="1"/>
  <c r="C192" i="2"/>
  <c r="E195" i="1"/>
  <c r="F195" i="1" s="1"/>
  <c r="D196" i="1"/>
  <c r="C196" i="1"/>
  <c r="C193" i="2" l="1"/>
  <c r="D193" i="2"/>
  <c r="E192" i="2"/>
  <c r="F192" i="2" s="1"/>
  <c r="D197" i="1"/>
  <c r="E196" i="1"/>
  <c r="F196" i="1" s="1"/>
  <c r="C197" i="1"/>
  <c r="D194" i="2" l="1"/>
  <c r="E193" i="2"/>
  <c r="F193" i="2" s="1"/>
  <c r="C194" i="2"/>
  <c r="E197" i="1"/>
  <c r="F197" i="1" s="1"/>
  <c r="D198" i="1"/>
  <c r="C198" i="1"/>
  <c r="C195" i="2" l="1"/>
  <c r="D195" i="2"/>
  <c r="E194" i="2"/>
  <c r="F194" i="2" s="1"/>
  <c r="D199" i="1"/>
  <c r="E198" i="1"/>
  <c r="F198" i="1" s="1"/>
  <c r="C199" i="1"/>
  <c r="D196" i="2" l="1"/>
  <c r="E195" i="2"/>
  <c r="F195" i="2" s="1"/>
  <c r="C196" i="2"/>
  <c r="E199" i="1"/>
  <c r="F199" i="1" s="1"/>
  <c r="D200" i="1"/>
  <c r="C200" i="1"/>
  <c r="U190" i="2" l="1"/>
  <c r="C197" i="2"/>
  <c r="D197" i="2"/>
  <c r="E196" i="2"/>
  <c r="F196" i="2" s="1"/>
  <c r="D201" i="1"/>
  <c r="E200" i="1"/>
  <c r="F200" i="1" s="1"/>
  <c r="C201" i="1"/>
  <c r="L190" i="2" l="1"/>
  <c r="G190" i="2" s="1"/>
  <c r="D198" i="2"/>
  <c r="E197" i="2"/>
  <c r="F197" i="2" s="1"/>
  <c r="C198" i="2"/>
  <c r="E201" i="1"/>
  <c r="F201" i="1" s="1"/>
  <c r="D202" i="1"/>
  <c r="C202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203" i="1"/>
  <c r="E202" i="1"/>
  <c r="F202" i="1" s="1"/>
  <c r="C203" i="1"/>
  <c r="D200" i="2" l="1"/>
  <c r="E199" i="2"/>
  <c r="F199" i="2" s="1"/>
  <c r="C200" i="2"/>
  <c r="E203" i="1"/>
  <c r="F203" i="1" s="1"/>
  <c r="D204" i="1"/>
  <c r="C204" i="1"/>
  <c r="W200" i="2" l="1"/>
  <c r="C201" i="2"/>
  <c r="W201" i="2" s="1"/>
  <c r="D201" i="2"/>
  <c r="E200" i="2"/>
  <c r="F200" i="2" s="1"/>
  <c r="D205" i="1"/>
  <c r="E204" i="1"/>
  <c r="F204" i="1" s="1"/>
  <c r="C205" i="1"/>
  <c r="D202" i="2" l="1"/>
  <c r="E201" i="2"/>
  <c r="F201" i="2" s="1"/>
  <c r="C202" i="2"/>
  <c r="E205" i="1"/>
  <c r="F205" i="1" s="1"/>
  <c r="D206" i="1"/>
  <c r="C206" i="1"/>
  <c r="D203" i="2" l="1"/>
  <c r="C203" i="2"/>
  <c r="E202" i="2"/>
  <c r="F202" i="2" s="1"/>
  <c r="D207" i="1"/>
  <c r="E206" i="1"/>
  <c r="F206" i="1" s="1"/>
  <c r="C207" i="1"/>
  <c r="C204" i="2" l="1"/>
  <c r="E203" i="2"/>
  <c r="F203" i="2" s="1"/>
  <c r="D204" i="2"/>
  <c r="E207" i="1"/>
  <c r="F207" i="1" s="1"/>
  <c r="D208" i="1"/>
  <c r="C208" i="1"/>
  <c r="D205" i="2" l="1"/>
  <c r="E204" i="2"/>
  <c r="F204" i="2" s="1"/>
  <c r="C205" i="2"/>
  <c r="D209" i="1"/>
  <c r="E208" i="1"/>
  <c r="F208" i="1" s="1"/>
  <c r="C209" i="1"/>
  <c r="C206" i="2" l="1"/>
  <c r="E205" i="2"/>
  <c r="F205" i="2" s="1"/>
  <c r="D206" i="2"/>
  <c r="E209" i="1"/>
  <c r="F209" i="1" s="1"/>
  <c r="D210" i="1"/>
  <c r="C210" i="1"/>
  <c r="D207" i="2" l="1"/>
  <c r="E206" i="2"/>
  <c r="F206" i="2" s="1"/>
  <c r="C207" i="2"/>
  <c r="D211" i="1"/>
  <c r="E210" i="1"/>
  <c r="F210" i="1" s="1"/>
  <c r="C211" i="1"/>
  <c r="C208" i="2" l="1"/>
  <c r="E207" i="2"/>
  <c r="F207" i="2" s="1"/>
  <c r="D208" i="2"/>
  <c r="E211" i="1"/>
  <c r="F211" i="1" s="1"/>
  <c r="D212" i="1"/>
  <c r="C212" i="1"/>
  <c r="D209" i="2" l="1"/>
  <c r="E208" i="2"/>
  <c r="F208" i="2" s="1"/>
  <c r="C209" i="2"/>
  <c r="U202" i="2"/>
  <c r="D213" i="1"/>
  <c r="E212" i="1"/>
  <c r="F212" i="1" s="1"/>
  <c r="C213" i="1"/>
  <c r="L202" i="2" l="1"/>
  <c r="G202" i="2" s="1"/>
  <c r="C210" i="2"/>
  <c r="E209" i="2"/>
  <c r="F209" i="2" s="1"/>
  <c r="D210" i="2"/>
  <c r="E213" i="1"/>
  <c r="F213" i="1" s="1"/>
  <c r="D214" i="1"/>
  <c r="C214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15" i="1"/>
  <c r="E214" i="1"/>
  <c r="F214" i="1" s="1"/>
  <c r="C215" i="1"/>
  <c r="C212" i="2" l="1"/>
  <c r="W212" i="2" s="1"/>
  <c r="E211" i="2"/>
  <c r="F211" i="2" s="1"/>
  <c r="D212" i="2"/>
  <c r="E215" i="1"/>
  <c r="F215" i="1" s="1"/>
  <c r="D216" i="1"/>
  <c r="C216" i="1"/>
  <c r="D213" i="2" l="1"/>
  <c r="E212" i="2"/>
  <c r="F212" i="2" s="1"/>
  <c r="C213" i="2"/>
  <c r="W213" i="2" s="1"/>
  <c r="D217" i="1"/>
  <c r="E216" i="1"/>
  <c r="F216" i="1" s="1"/>
  <c r="C217" i="1"/>
  <c r="C214" i="2" l="1"/>
  <c r="E213" i="2"/>
  <c r="F213" i="2" s="1"/>
  <c r="D214" i="2"/>
  <c r="E217" i="1"/>
  <c r="F217" i="1" s="1"/>
  <c r="D218" i="1"/>
  <c r="C218" i="1"/>
  <c r="C215" i="2" l="1"/>
  <c r="E214" i="2"/>
  <c r="F214" i="2" s="1"/>
  <c r="D215" i="2"/>
  <c r="D219" i="1"/>
  <c r="E218" i="1"/>
  <c r="F218" i="1" s="1"/>
  <c r="C219" i="1"/>
  <c r="D216" i="2" l="1"/>
  <c r="E215" i="2"/>
  <c r="F215" i="2" s="1"/>
  <c r="C216" i="2"/>
  <c r="E219" i="1"/>
  <c r="F219" i="1" s="1"/>
  <c r="D220" i="1"/>
  <c r="C220" i="1"/>
  <c r="C217" i="2" l="1"/>
  <c r="D217" i="2"/>
  <c r="E216" i="2"/>
  <c r="F216" i="2" s="1"/>
  <c r="D221" i="1"/>
  <c r="E220" i="1"/>
  <c r="F220" i="1" s="1"/>
  <c r="C221" i="1"/>
  <c r="D218" i="2" l="1"/>
  <c r="E217" i="2"/>
  <c r="F217" i="2" s="1"/>
  <c r="C218" i="2"/>
  <c r="E221" i="1"/>
  <c r="F221" i="1" s="1"/>
  <c r="D222" i="1"/>
  <c r="C222" i="1"/>
  <c r="C219" i="2" l="1"/>
  <c r="D219" i="2"/>
  <c r="E218" i="2"/>
  <c r="F218" i="2" s="1"/>
  <c r="D223" i="1"/>
  <c r="E222" i="1"/>
  <c r="F222" i="1" s="1"/>
  <c r="C223" i="1"/>
  <c r="D220" i="2" l="1"/>
  <c r="E219" i="2"/>
  <c r="F219" i="2" s="1"/>
  <c r="C220" i="2"/>
  <c r="E223" i="1"/>
  <c r="F223" i="1" s="1"/>
  <c r="D224" i="1"/>
  <c r="C224" i="1"/>
  <c r="U214" i="2" l="1"/>
  <c r="C221" i="2"/>
  <c r="D221" i="2"/>
  <c r="E220" i="2"/>
  <c r="F220" i="2" s="1"/>
  <c r="D225" i="1"/>
  <c r="E224" i="1"/>
  <c r="F224" i="1" s="1"/>
  <c r="C225" i="1"/>
  <c r="L214" i="2" l="1"/>
  <c r="G214" i="2" s="1"/>
  <c r="D222" i="2"/>
  <c r="E221" i="2"/>
  <c r="F221" i="2" s="1"/>
  <c r="C222" i="2"/>
  <c r="W222" i="2" s="1"/>
  <c r="E225" i="1"/>
  <c r="F225" i="1" s="1"/>
  <c r="D226" i="1"/>
  <c r="C226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7" i="1"/>
  <c r="E226" i="1"/>
  <c r="F226" i="1" s="1"/>
  <c r="C227" i="1"/>
  <c r="D224" i="2" l="1"/>
  <c r="C224" i="2"/>
  <c r="E223" i="2"/>
  <c r="F223" i="2" s="1"/>
  <c r="E227" i="1"/>
  <c r="F227" i="1" s="1"/>
  <c r="D228" i="1"/>
  <c r="C228" i="1"/>
  <c r="W224" i="2" l="1"/>
  <c r="C225" i="2"/>
  <c r="W225" i="2" s="1"/>
  <c r="D225" i="2"/>
  <c r="E224" i="2"/>
  <c r="F224" i="2" s="1"/>
  <c r="D229" i="1"/>
  <c r="E228" i="1"/>
  <c r="F228" i="1" s="1"/>
  <c r="C229" i="1"/>
  <c r="D226" i="2" l="1"/>
  <c r="E225" i="2"/>
  <c r="F225" i="2" s="1"/>
  <c r="C226" i="2"/>
  <c r="E229" i="1"/>
  <c r="F229" i="1" s="1"/>
  <c r="D230" i="1"/>
  <c r="C230" i="1"/>
  <c r="D227" i="2" l="1"/>
  <c r="C227" i="2"/>
  <c r="E226" i="2"/>
  <c r="F226" i="2" s="1"/>
  <c r="D231" i="1"/>
  <c r="E230" i="1"/>
  <c r="F230" i="1" s="1"/>
  <c r="C231" i="1"/>
  <c r="C228" i="2" l="1"/>
  <c r="E227" i="2"/>
  <c r="F227" i="2" s="1"/>
  <c r="D228" i="2"/>
  <c r="E231" i="1"/>
  <c r="F231" i="1" s="1"/>
  <c r="D232" i="1"/>
  <c r="C232" i="1"/>
  <c r="D229" i="2" l="1"/>
  <c r="E228" i="2"/>
  <c r="F228" i="2" s="1"/>
  <c r="C229" i="2"/>
  <c r="D233" i="1"/>
  <c r="E232" i="1"/>
  <c r="F232" i="1" s="1"/>
  <c r="C233" i="1"/>
  <c r="C230" i="2" l="1"/>
  <c r="E229" i="2"/>
  <c r="F229" i="2" s="1"/>
  <c r="D230" i="2"/>
  <c r="E233" i="1"/>
  <c r="F233" i="1" s="1"/>
  <c r="D234" i="1"/>
  <c r="C234" i="1"/>
  <c r="D231" i="2" l="1"/>
  <c r="E230" i="2"/>
  <c r="F230" i="2" s="1"/>
  <c r="C231" i="2"/>
  <c r="D235" i="1"/>
  <c r="E234" i="1"/>
  <c r="F234" i="1" s="1"/>
  <c r="C235" i="1"/>
  <c r="C232" i="2" l="1"/>
  <c r="E231" i="2"/>
  <c r="F231" i="2" s="1"/>
  <c r="D232" i="2"/>
  <c r="E235" i="1"/>
  <c r="F235" i="1" s="1"/>
  <c r="D236" i="1"/>
  <c r="C236" i="1"/>
  <c r="D233" i="2" l="1"/>
  <c r="E232" i="2"/>
  <c r="F232" i="2" s="1"/>
  <c r="C233" i="2"/>
  <c r="U226" i="2"/>
  <c r="D237" i="1"/>
  <c r="E236" i="1"/>
  <c r="F236" i="1" s="1"/>
  <c r="C237" i="1"/>
  <c r="L226" i="2" l="1"/>
  <c r="G226" i="2" s="1"/>
  <c r="C234" i="2"/>
  <c r="E233" i="2"/>
  <c r="F233" i="2" s="1"/>
  <c r="D234" i="2"/>
  <c r="E237" i="1"/>
  <c r="F237" i="1" s="1"/>
  <c r="D238" i="1"/>
  <c r="C238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39" i="1"/>
  <c r="E238" i="1"/>
  <c r="F238" i="1" s="1"/>
  <c r="C239" i="1"/>
  <c r="C236" i="2" l="1"/>
  <c r="E235" i="2"/>
  <c r="F235" i="2" s="1"/>
  <c r="D236" i="2"/>
  <c r="E239" i="1"/>
  <c r="F239" i="1" s="1"/>
  <c r="D240" i="1"/>
  <c r="C240" i="1"/>
  <c r="W236" i="2" l="1"/>
  <c r="D237" i="2"/>
  <c r="E236" i="2"/>
  <c r="F236" i="2" s="1"/>
  <c r="C237" i="2"/>
  <c r="W237" i="2" s="1"/>
  <c r="D241" i="1"/>
  <c r="E240" i="1"/>
  <c r="F240" i="1" s="1"/>
  <c r="C241" i="1"/>
  <c r="C238" i="2" l="1"/>
  <c r="E237" i="2"/>
  <c r="F237" i="2" s="1"/>
  <c r="D238" i="2"/>
  <c r="E241" i="1"/>
  <c r="F241" i="1" s="1"/>
  <c r="D242" i="1"/>
  <c r="C242" i="1"/>
  <c r="C239" i="2" l="1"/>
  <c r="E238" i="2"/>
  <c r="F238" i="2" s="1"/>
  <c r="D239" i="2"/>
  <c r="D243" i="1"/>
  <c r="E242" i="1"/>
  <c r="F242" i="1" s="1"/>
  <c r="C243" i="1"/>
  <c r="D240" i="2" l="1"/>
  <c r="E239" i="2"/>
  <c r="F239" i="2" s="1"/>
  <c r="C240" i="2"/>
  <c r="E243" i="1"/>
  <c r="F243" i="1" s="1"/>
  <c r="D244" i="1"/>
  <c r="C244" i="1"/>
  <c r="C241" i="2" l="1"/>
  <c r="D241" i="2"/>
  <c r="E240" i="2"/>
  <c r="F240" i="2" s="1"/>
  <c r="D245" i="1"/>
  <c r="E244" i="1"/>
  <c r="F244" i="1" s="1"/>
  <c r="C245" i="1"/>
  <c r="D242" i="2" l="1"/>
  <c r="E241" i="2"/>
  <c r="F241" i="2" s="1"/>
  <c r="C242" i="2"/>
  <c r="E245" i="1"/>
  <c r="F245" i="1" s="1"/>
  <c r="D246" i="1"/>
  <c r="C246" i="1"/>
  <c r="C243" i="2" l="1"/>
  <c r="D243" i="2"/>
  <c r="E242" i="2"/>
  <c r="F242" i="2" s="1"/>
  <c r="D247" i="1"/>
  <c r="E246" i="1"/>
  <c r="F246" i="1" s="1"/>
  <c r="C247" i="1"/>
  <c r="D244" i="2" l="1"/>
  <c r="E243" i="2"/>
  <c r="F243" i="2" s="1"/>
  <c r="C244" i="2"/>
  <c r="E247" i="1"/>
  <c r="F247" i="1" s="1"/>
  <c r="D248" i="1"/>
  <c r="C248" i="1"/>
  <c r="U238" i="2" l="1"/>
  <c r="C245" i="2"/>
  <c r="D245" i="2"/>
  <c r="E244" i="2"/>
  <c r="F244" i="2" s="1"/>
  <c r="D249" i="1"/>
  <c r="E248" i="1"/>
  <c r="F248" i="1" s="1"/>
  <c r="C249" i="1"/>
  <c r="L238" i="2" l="1"/>
  <c r="G238" i="2" s="1"/>
  <c r="D246" i="2"/>
  <c r="E245" i="2"/>
  <c r="F245" i="2" s="1"/>
  <c r="C246" i="2"/>
  <c r="E249" i="1"/>
  <c r="F249" i="1" s="1"/>
  <c r="D250" i="1"/>
  <c r="C250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51" i="1"/>
  <c r="E250" i="1"/>
  <c r="F250" i="1" s="1"/>
  <c r="C251" i="1"/>
  <c r="D248" i="2" l="1"/>
  <c r="E247" i="2"/>
  <c r="F247" i="2" s="1"/>
  <c r="C248" i="2"/>
  <c r="W248" i="2" s="1"/>
  <c r="E251" i="1"/>
  <c r="F251" i="1" s="1"/>
  <c r="D252" i="1"/>
  <c r="C252" i="1"/>
  <c r="C249" i="2" l="1"/>
  <c r="W249" i="2" s="1"/>
  <c r="D249" i="2"/>
  <c r="E248" i="2"/>
  <c r="F248" i="2" s="1"/>
  <c r="D253" i="1"/>
  <c r="E252" i="1"/>
  <c r="F252" i="1" s="1"/>
  <c r="C253" i="1"/>
  <c r="D250" i="2" l="1"/>
  <c r="E249" i="2"/>
  <c r="F249" i="2" s="1"/>
  <c r="C250" i="2"/>
  <c r="E253" i="1"/>
  <c r="F253" i="1" s="1"/>
  <c r="D254" i="1"/>
  <c r="C254" i="1"/>
  <c r="D251" i="2" l="1"/>
  <c r="C251" i="2"/>
  <c r="E250" i="2"/>
  <c r="F250" i="2" s="1"/>
  <c r="D255" i="1"/>
  <c r="E254" i="1"/>
  <c r="F254" i="1" s="1"/>
  <c r="C255" i="1"/>
  <c r="C252" i="2" l="1"/>
  <c r="E251" i="2"/>
  <c r="F251" i="2" s="1"/>
  <c r="D252" i="2"/>
  <c r="E255" i="1"/>
  <c r="F255" i="1" s="1"/>
  <c r="D256" i="1"/>
  <c r="C256" i="1"/>
  <c r="D253" i="2" l="1"/>
  <c r="E252" i="2"/>
  <c r="F252" i="2" s="1"/>
  <c r="C253" i="2"/>
  <c r="D257" i="1"/>
  <c r="E256" i="1"/>
  <c r="F256" i="1" s="1"/>
  <c r="C257" i="1"/>
  <c r="C254" i="2" l="1"/>
  <c r="E253" i="2"/>
  <c r="F253" i="2" s="1"/>
  <c r="D254" i="2"/>
  <c r="E257" i="1"/>
  <c r="F257" i="1" s="1"/>
  <c r="D258" i="1"/>
  <c r="C258" i="1"/>
  <c r="C255" i="2" l="1"/>
  <c r="E254" i="2"/>
  <c r="F254" i="2" s="1"/>
  <c r="D255" i="2"/>
  <c r="D259" i="1"/>
  <c r="E258" i="1"/>
  <c r="F258" i="1" s="1"/>
  <c r="C259" i="1"/>
  <c r="D256" i="2" l="1"/>
  <c r="E255" i="2"/>
  <c r="F255" i="2" s="1"/>
  <c r="C256" i="2"/>
  <c r="E259" i="1"/>
  <c r="F259" i="1" s="1"/>
  <c r="D260" i="1"/>
  <c r="C260" i="1"/>
  <c r="C257" i="2" l="1"/>
  <c r="E256" i="2"/>
  <c r="F256" i="2" s="1"/>
  <c r="D257" i="2"/>
  <c r="U250" i="2"/>
  <c r="D261" i="1"/>
  <c r="E260" i="1"/>
  <c r="F260" i="1" s="1"/>
  <c r="C261" i="1"/>
  <c r="L250" i="2" l="1"/>
  <c r="G250" i="2" s="1"/>
  <c r="D258" i="2"/>
  <c r="E257" i="2"/>
  <c r="F257" i="2" s="1"/>
  <c r="C258" i="2"/>
  <c r="W258" i="2" s="1"/>
  <c r="E261" i="1"/>
  <c r="F261" i="1" s="1"/>
  <c r="D262" i="1"/>
  <c r="C262" i="1"/>
  <c r="W253" i="2" l="1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63" i="1"/>
  <c r="E262" i="1"/>
  <c r="F262" i="1" s="1"/>
  <c r="C263" i="1"/>
  <c r="D260" i="2" l="1"/>
  <c r="E259" i="2"/>
  <c r="F259" i="2" s="1"/>
  <c r="C260" i="2"/>
  <c r="W260" i="2" s="1"/>
  <c r="E263" i="1"/>
  <c r="F263" i="1" s="1"/>
  <c r="D264" i="1"/>
  <c r="C264" i="1"/>
  <c r="C261" i="2" l="1"/>
  <c r="W261" i="2" s="1"/>
  <c r="E260" i="2"/>
  <c r="F260" i="2" s="1"/>
  <c r="D261" i="2"/>
  <c r="D265" i="1"/>
  <c r="E264" i="1"/>
  <c r="F264" i="1" s="1"/>
  <c r="C265" i="1"/>
  <c r="D262" i="2" l="1"/>
  <c r="E261" i="2"/>
  <c r="F261" i="2" s="1"/>
  <c r="C262" i="2"/>
  <c r="E265" i="1"/>
  <c r="F265" i="1" s="1"/>
  <c r="D266" i="1"/>
  <c r="C266" i="1"/>
  <c r="D263" i="2" l="1"/>
  <c r="C263" i="2"/>
  <c r="E262" i="2"/>
  <c r="F262" i="2" s="1"/>
  <c r="D267" i="1"/>
  <c r="E266" i="1"/>
  <c r="F266" i="1" s="1"/>
  <c r="C267" i="1"/>
  <c r="C264" i="2" l="1"/>
  <c r="D264" i="2"/>
  <c r="E263" i="2"/>
  <c r="F263" i="2" s="1"/>
  <c r="E267" i="1"/>
  <c r="F267" i="1" s="1"/>
  <c r="D268" i="1"/>
  <c r="C268" i="1"/>
  <c r="D265" i="2" l="1"/>
  <c r="E264" i="2"/>
  <c r="F264" i="2" s="1"/>
  <c r="C265" i="2"/>
  <c r="D269" i="1"/>
  <c r="E268" i="1"/>
  <c r="F268" i="1" s="1"/>
  <c r="C269" i="1"/>
  <c r="C266" i="2" l="1"/>
  <c r="D266" i="2"/>
  <c r="E265" i="2"/>
  <c r="F265" i="2" s="1"/>
  <c r="E269" i="1"/>
  <c r="F269" i="1" s="1"/>
  <c r="D270" i="1"/>
  <c r="C270" i="1"/>
  <c r="D267" i="2" l="1"/>
  <c r="E266" i="2"/>
  <c r="F266" i="2" s="1"/>
  <c r="C267" i="2"/>
  <c r="D271" i="1"/>
  <c r="E270" i="1"/>
  <c r="F270" i="1" s="1"/>
  <c r="C271" i="1"/>
  <c r="C268" i="2" l="1"/>
  <c r="D268" i="2"/>
  <c r="E267" i="2"/>
  <c r="F267" i="2" s="1"/>
  <c r="E271" i="1"/>
  <c r="F271" i="1" s="1"/>
  <c r="D272" i="1"/>
  <c r="C272" i="1"/>
  <c r="U262" i="2" l="1"/>
  <c r="D269" i="2"/>
  <c r="E268" i="2"/>
  <c r="F268" i="2" s="1"/>
  <c r="C269" i="2"/>
  <c r="D273" i="1"/>
  <c r="E272" i="1"/>
  <c r="F272" i="1" s="1"/>
  <c r="C273" i="1"/>
  <c r="L262" i="2" l="1"/>
  <c r="C270" i="2"/>
  <c r="D270" i="2"/>
  <c r="E269" i="2"/>
  <c r="F269" i="2" s="1"/>
  <c r="U275" i="2"/>
  <c r="E273" i="1"/>
  <c r="F273" i="1" s="1"/>
  <c r="D274" i="1"/>
  <c r="C274" i="1"/>
  <c r="W270" i="2" l="1"/>
  <c r="G262" i="2"/>
  <c r="W265" i="2" s="1"/>
  <c r="L275" i="2"/>
  <c r="X275" i="2" s="1"/>
  <c r="O26" i="2" s="1"/>
  <c r="W269" i="2"/>
  <c r="W264" i="2"/>
  <c r="W268" i="2"/>
  <c r="W262" i="2"/>
  <c r="W263" i="2"/>
  <c r="W266" i="2"/>
  <c r="W267" i="2"/>
  <c r="D271" i="2"/>
  <c r="E270" i="2"/>
  <c r="F270" i="2" s="1"/>
  <c r="C271" i="2"/>
  <c r="W271" i="2" s="1"/>
  <c r="D275" i="1"/>
  <c r="E274" i="1"/>
  <c r="F274" i="1" s="1"/>
  <c r="C275" i="1"/>
  <c r="G275" i="2" l="1"/>
  <c r="C272" i="2"/>
  <c r="D272" i="2"/>
  <c r="E271" i="2"/>
  <c r="F271" i="2" s="1"/>
  <c r="E275" i="1"/>
  <c r="F275" i="1" s="1"/>
  <c r="D276" i="1"/>
  <c r="C276" i="1"/>
  <c r="W272" i="2" l="1"/>
  <c r="D273" i="2"/>
  <c r="E272" i="2"/>
  <c r="F272" i="2" s="1"/>
  <c r="C273" i="2"/>
  <c r="W273" i="2" s="1"/>
  <c r="D277" i="1"/>
  <c r="E276" i="1"/>
  <c r="F276" i="1" s="1"/>
  <c r="C277" i="1"/>
  <c r="C274" i="2" l="1"/>
  <c r="W274" i="2" s="1"/>
  <c r="D274" i="2"/>
  <c r="E273" i="2"/>
  <c r="F273" i="2" s="1"/>
  <c r="E277" i="1"/>
  <c r="F277" i="1" s="1"/>
  <c r="D278" i="1"/>
  <c r="C278" i="1"/>
  <c r="E274" i="2" l="1"/>
  <c r="F274" i="2" s="1"/>
  <c r="W275" i="2"/>
  <c r="O24" i="2" s="1"/>
  <c r="D279" i="1"/>
  <c r="E278" i="1"/>
  <c r="F278" i="1" s="1"/>
  <c r="C279" i="1"/>
  <c r="E279" i="1" l="1"/>
  <c r="F279" i="1" s="1"/>
  <c r="D280" i="1"/>
  <c r="C280" i="1"/>
  <c r="D281" i="1" l="1"/>
  <c r="E280" i="1"/>
  <c r="F280" i="1" s="1"/>
  <c r="C281" i="1"/>
  <c r="E281" i="1" l="1"/>
  <c r="F281" i="1" s="1"/>
  <c r="D282" i="1"/>
  <c r="C282" i="1"/>
  <c r="D283" i="1" l="1"/>
  <c r="E282" i="1"/>
  <c r="F282" i="1" s="1"/>
  <c r="C283" i="1"/>
  <c r="E283" i="1" s="1"/>
  <c r="F283" i="1" s="1"/>
  <c r="Y275" i="2" l="1"/>
  <c r="O27" i="2" s="1"/>
  <c r="O284" i="1"/>
  <c r="L43" i="1"/>
  <c r="G43" i="1" l="1"/>
  <c r="W47" i="1" l="1"/>
  <c r="W45" i="1"/>
  <c r="W46" i="1"/>
  <c r="W48" i="1"/>
  <c r="W49" i="1"/>
  <c r="W50" i="1"/>
  <c r="W51" i="1"/>
  <c r="W52" i="1"/>
  <c r="W53" i="1"/>
  <c r="W54" i="1"/>
  <c r="W57" i="1"/>
  <c r="W56" i="1"/>
  <c r="W55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3" i="1"/>
  <c r="W92" i="1"/>
  <c r="W91" i="1"/>
  <c r="W94" i="1"/>
  <c r="W95" i="1"/>
  <c r="W96" i="1"/>
  <c r="W97" i="1"/>
  <c r="W98" i="1"/>
  <c r="W99" i="1"/>
  <c r="W100" i="1"/>
  <c r="W101" i="1"/>
  <c r="W102" i="1"/>
  <c r="I103" i="1"/>
  <c r="L103" i="1" l="1"/>
  <c r="K104" i="1"/>
  <c r="I104" i="1"/>
  <c r="K105" i="1" l="1"/>
  <c r="G105" i="1" s="1"/>
  <c r="I105" i="1"/>
  <c r="G104" i="1"/>
  <c r="W104" i="1" s="1"/>
  <c r="G103" i="1"/>
  <c r="W103" i="1" l="1"/>
  <c r="W105" i="1"/>
  <c r="K106" i="1"/>
  <c r="I106" i="1"/>
  <c r="K107" i="1" l="1"/>
  <c r="G107" i="1" s="1"/>
  <c r="I107" i="1"/>
  <c r="G106" i="1"/>
  <c r="W106" i="1" l="1"/>
  <c r="W107" i="1"/>
  <c r="K108" i="1"/>
  <c r="I108" i="1"/>
  <c r="K109" i="1" l="1"/>
  <c r="G108" i="1"/>
  <c r="I109" i="1"/>
  <c r="G109" i="1"/>
  <c r="W108" i="1" l="1"/>
  <c r="W109" i="1"/>
  <c r="K110" i="1"/>
  <c r="I110" i="1"/>
  <c r="K111" i="1" l="1"/>
  <c r="G111" i="1" s="1"/>
  <c r="G110" i="1"/>
  <c r="I111" i="1"/>
  <c r="W111" i="1" l="1"/>
  <c r="W110" i="1"/>
  <c r="K112" i="1"/>
  <c r="G112" i="1" s="1"/>
  <c r="W112" i="1" s="1"/>
  <c r="I112" i="1"/>
  <c r="K113" i="1" l="1"/>
  <c r="G113" i="1" s="1"/>
  <c r="W113" i="1" s="1"/>
  <c r="I113" i="1"/>
  <c r="K114" i="1" l="1"/>
  <c r="G114" i="1" s="1"/>
  <c r="W114" i="1" s="1"/>
  <c r="I114" i="1"/>
  <c r="K115" i="1" l="1"/>
  <c r="I115" i="1"/>
  <c r="U115" i="1" s="1"/>
  <c r="I116" i="1" l="1"/>
  <c r="I117" i="1" s="1"/>
  <c r="L115" i="1"/>
  <c r="K116" i="1"/>
  <c r="K118" i="1" l="1"/>
  <c r="K117" i="1"/>
  <c r="G117" i="1" s="1"/>
  <c r="I118" i="1"/>
  <c r="G118" i="1"/>
  <c r="G116" i="1"/>
  <c r="K119" i="1" l="1"/>
  <c r="I119" i="1"/>
  <c r="G115" i="1"/>
  <c r="W118" i="1" l="1"/>
  <c r="W115" i="1"/>
  <c r="W117" i="1"/>
  <c r="W116" i="1"/>
  <c r="K120" i="1"/>
  <c r="I120" i="1"/>
  <c r="G120" i="1"/>
  <c r="G119" i="1"/>
  <c r="W120" i="1" l="1"/>
  <c r="W119" i="1"/>
  <c r="K121" i="1"/>
  <c r="I121" i="1"/>
  <c r="K122" i="1" l="1"/>
  <c r="G121" i="1"/>
  <c r="I122" i="1"/>
  <c r="G122" i="1"/>
  <c r="W122" i="1" l="1"/>
  <c r="W121" i="1"/>
  <c r="K123" i="1"/>
  <c r="G123" i="1" s="1"/>
  <c r="I123" i="1"/>
  <c r="W123" i="1" l="1"/>
  <c r="K124" i="1"/>
  <c r="I124" i="1"/>
  <c r="K125" i="1" l="1"/>
  <c r="G125" i="1" s="1"/>
  <c r="G124" i="1"/>
  <c r="I125" i="1"/>
  <c r="W125" i="1" l="1"/>
  <c r="W124" i="1"/>
  <c r="K126" i="1"/>
  <c r="G126" i="1" s="1"/>
  <c r="W126" i="1" s="1"/>
  <c r="I126" i="1"/>
  <c r="K127" i="1" l="1"/>
  <c r="I127" i="1"/>
  <c r="U127" i="1" s="1"/>
  <c r="L127" i="1" l="1"/>
  <c r="K128" i="1"/>
  <c r="G128" i="1" s="1"/>
  <c r="I128" i="1"/>
  <c r="K129" i="1" l="1"/>
  <c r="G129" i="1" s="1"/>
  <c r="I129" i="1"/>
  <c r="K130" i="1" l="1"/>
  <c r="I130" i="1"/>
  <c r="G130" i="1"/>
  <c r="G127" i="1"/>
  <c r="W127" i="1" l="1"/>
  <c r="W128" i="1"/>
  <c r="W130" i="1"/>
  <c r="W129" i="1"/>
  <c r="K131" i="1"/>
  <c r="G131" i="1" s="1"/>
  <c r="I131" i="1"/>
  <c r="W131" i="1" l="1"/>
  <c r="K132" i="1"/>
  <c r="I132" i="1"/>
  <c r="G132" i="1"/>
  <c r="W132" i="1" l="1"/>
  <c r="K133" i="1"/>
  <c r="G133" i="1" s="1"/>
  <c r="I133" i="1"/>
  <c r="W133" i="1" l="1"/>
  <c r="K134" i="1"/>
  <c r="G134" i="1" s="1"/>
  <c r="I134" i="1"/>
  <c r="W134" i="1" l="1"/>
  <c r="K135" i="1"/>
  <c r="G135" i="1" s="1"/>
  <c r="W135" i="1" s="1"/>
  <c r="I135" i="1"/>
  <c r="K136" i="1" l="1"/>
  <c r="G136" i="1" s="1"/>
  <c r="W136" i="1" s="1"/>
  <c r="I136" i="1"/>
  <c r="K137" i="1" l="1"/>
  <c r="G137" i="1" s="1"/>
  <c r="W137" i="1" s="1"/>
  <c r="I137" i="1"/>
  <c r="K138" i="1" l="1"/>
  <c r="I138" i="1"/>
  <c r="G138" i="1"/>
  <c r="W138" i="1" s="1"/>
  <c r="K139" i="1" l="1"/>
  <c r="I139" i="1"/>
  <c r="U139" i="1" s="1"/>
  <c r="L139" i="1" l="1"/>
  <c r="K140" i="1"/>
  <c r="G140" i="1" s="1"/>
  <c r="I140" i="1"/>
  <c r="K141" i="1" l="1"/>
  <c r="G141" i="1" s="1"/>
  <c r="I141" i="1"/>
  <c r="K142" i="1" l="1"/>
  <c r="I142" i="1"/>
  <c r="G142" i="1"/>
  <c r="G139" i="1"/>
  <c r="W141" i="1" l="1"/>
  <c r="W140" i="1"/>
  <c r="W139" i="1"/>
  <c r="W142" i="1"/>
  <c r="K143" i="1"/>
  <c r="G143" i="1" s="1"/>
  <c r="I143" i="1"/>
  <c r="W143" i="1" l="1"/>
  <c r="K144" i="1"/>
  <c r="G144" i="1" s="1"/>
  <c r="I144" i="1"/>
  <c r="W144" i="1" l="1"/>
  <c r="K145" i="1"/>
  <c r="G145" i="1" s="1"/>
  <c r="I145" i="1"/>
  <c r="W145" i="1" l="1"/>
  <c r="K146" i="1"/>
  <c r="G146" i="1" s="1"/>
  <c r="I146" i="1"/>
  <c r="W146" i="1" l="1"/>
  <c r="K147" i="1"/>
  <c r="G147" i="1" s="1"/>
  <c r="I147" i="1"/>
  <c r="W147" i="1" l="1"/>
  <c r="K148" i="1"/>
  <c r="G148" i="1" s="1"/>
  <c r="W148" i="1" s="1"/>
  <c r="I148" i="1"/>
  <c r="K149" i="1" l="1"/>
  <c r="G149" i="1" s="1"/>
  <c r="W149" i="1" s="1"/>
  <c r="I149" i="1"/>
  <c r="K150" i="1" l="1"/>
  <c r="G150" i="1" s="1"/>
  <c r="W150" i="1" s="1"/>
  <c r="I150" i="1"/>
  <c r="K151" i="1" l="1"/>
  <c r="I151" i="1"/>
  <c r="U151" i="1" s="1"/>
  <c r="L151" i="1" l="1"/>
  <c r="K152" i="1"/>
  <c r="G152" i="1" s="1"/>
  <c r="I152" i="1"/>
  <c r="K153" i="1" l="1"/>
  <c r="G153" i="1" s="1"/>
  <c r="I153" i="1"/>
  <c r="K154" i="1" l="1"/>
  <c r="I154" i="1"/>
  <c r="G154" i="1"/>
  <c r="G151" i="1"/>
  <c r="W154" i="1" l="1"/>
  <c r="W152" i="1"/>
  <c r="W151" i="1"/>
  <c r="W153" i="1"/>
  <c r="K155" i="1"/>
  <c r="G155" i="1" s="1"/>
  <c r="I155" i="1"/>
  <c r="W155" i="1" l="1"/>
  <c r="K156" i="1"/>
  <c r="I156" i="1"/>
  <c r="G156" i="1"/>
  <c r="W156" i="1" s="1"/>
  <c r="K157" i="1" l="1"/>
  <c r="G157" i="1" s="1"/>
  <c r="J284" i="1"/>
  <c r="I157" i="1"/>
  <c r="W157" i="1" l="1"/>
  <c r="K158" i="1"/>
  <c r="G158" i="1" s="1"/>
  <c r="W158" i="1" s="1"/>
  <c r="I158" i="1"/>
  <c r="K159" i="1" l="1"/>
  <c r="G159" i="1" s="1"/>
  <c r="W159" i="1" s="1"/>
  <c r="I159" i="1"/>
  <c r="K160" i="1" l="1"/>
  <c r="I160" i="1"/>
  <c r="G160" i="1"/>
  <c r="W160" i="1" l="1"/>
  <c r="K161" i="1"/>
  <c r="G161" i="1" s="1"/>
  <c r="W161" i="1" s="1"/>
  <c r="I161" i="1"/>
  <c r="W162" i="1" l="1"/>
  <c r="K162" i="1"/>
  <c r="G162" i="1" s="1"/>
  <c r="I162" i="1"/>
  <c r="K163" i="1" l="1"/>
  <c r="I163" i="1"/>
  <c r="U163" i="1" s="1"/>
  <c r="L163" i="1" l="1"/>
  <c r="K164" i="1"/>
  <c r="G164" i="1" s="1"/>
  <c r="I164" i="1"/>
  <c r="K165" i="1" l="1"/>
  <c r="G165" i="1" s="1"/>
  <c r="I165" i="1"/>
  <c r="K166" i="1" l="1"/>
  <c r="G166" i="1" s="1"/>
  <c r="I166" i="1"/>
  <c r="G163" i="1"/>
  <c r="W166" i="1" l="1"/>
  <c r="W163" i="1"/>
  <c r="W165" i="1"/>
  <c r="W164" i="1"/>
  <c r="K167" i="1"/>
  <c r="I167" i="1"/>
  <c r="K168" i="1" l="1"/>
  <c r="G168" i="1" s="1"/>
  <c r="I168" i="1"/>
  <c r="G167" i="1"/>
  <c r="W168" i="1" l="1"/>
  <c r="W167" i="1"/>
  <c r="K169" i="1"/>
  <c r="I169" i="1"/>
  <c r="K170" i="1" l="1"/>
  <c r="G170" i="1" s="1"/>
  <c r="I170" i="1"/>
  <c r="G169" i="1"/>
  <c r="W170" i="1" l="1"/>
  <c r="W169" i="1"/>
  <c r="K171" i="1"/>
  <c r="I171" i="1"/>
  <c r="K172" i="1" l="1"/>
  <c r="G172" i="1" s="1"/>
  <c r="I172" i="1"/>
  <c r="G171" i="1"/>
  <c r="W172" i="1" l="1"/>
  <c r="W171" i="1"/>
  <c r="K173" i="1"/>
  <c r="G173" i="1" s="1"/>
  <c r="I173" i="1"/>
  <c r="W173" i="1" l="1"/>
  <c r="K174" i="1"/>
  <c r="G174" i="1" s="1"/>
  <c r="W174" i="1" s="1"/>
  <c r="I174" i="1"/>
  <c r="K175" i="1" l="1"/>
  <c r="I175" i="1"/>
  <c r="U175" i="1" s="1"/>
  <c r="K176" i="1" l="1"/>
  <c r="G176" i="1" s="1"/>
  <c r="I176" i="1"/>
  <c r="K177" i="1" l="1"/>
  <c r="G177" i="1" s="1"/>
  <c r="I177" i="1"/>
  <c r="L175" i="1"/>
  <c r="I178" i="1" l="1"/>
  <c r="K178" i="1"/>
  <c r="G178" i="1" s="1"/>
  <c r="G175" i="1"/>
  <c r="W175" i="1" l="1"/>
  <c r="W176" i="1"/>
  <c r="W178" i="1"/>
  <c r="W177" i="1"/>
  <c r="K179" i="1"/>
  <c r="G179" i="1" s="1"/>
  <c r="I179" i="1"/>
  <c r="W179" i="1" l="1"/>
  <c r="K180" i="1"/>
  <c r="G180" i="1" s="1"/>
  <c r="I180" i="1"/>
  <c r="W180" i="1" l="1"/>
  <c r="K181" i="1"/>
  <c r="G181" i="1" s="1"/>
  <c r="I181" i="1"/>
  <c r="W181" i="1" l="1"/>
  <c r="K182" i="1"/>
  <c r="G182" i="1" s="1"/>
  <c r="W182" i="1" s="1"/>
  <c r="I182" i="1"/>
  <c r="K183" i="1" l="1"/>
  <c r="G183" i="1" s="1"/>
  <c r="I183" i="1"/>
  <c r="W183" i="1" l="1"/>
  <c r="K184" i="1"/>
  <c r="G184" i="1" s="1"/>
  <c r="I184" i="1"/>
  <c r="W184" i="1" l="1"/>
  <c r="K185" i="1"/>
  <c r="G185" i="1" s="1"/>
  <c r="W185" i="1" s="1"/>
  <c r="I185" i="1"/>
  <c r="K186" i="1" l="1"/>
  <c r="G186" i="1" s="1"/>
  <c r="W186" i="1" s="1"/>
  <c r="I186" i="1"/>
  <c r="K187" i="1" l="1"/>
  <c r="I187" i="1"/>
  <c r="U187" i="1" s="1"/>
  <c r="I188" i="1" l="1"/>
  <c r="K188" i="1"/>
  <c r="G188" i="1" s="1"/>
  <c r="L187" i="1" l="1"/>
  <c r="K189" i="1"/>
  <c r="G189" i="1" s="1"/>
  <c r="I189" i="1"/>
  <c r="K190" i="1" l="1"/>
  <c r="G190" i="1" s="1"/>
  <c r="I190" i="1"/>
  <c r="G187" i="1"/>
  <c r="W188" i="1" l="1"/>
  <c r="W187" i="1"/>
  <c r="W189" i="1"/>
  <c r="W190" i="1"/>
  <c r="K191" i="1"/>
  <c r="G191" i="1" s="1"/>
  <c r="I191" i="1"/>
  <c r="W191" i="1" l="1"/>
  <c r="K192" i="1"/>
  <c r="G192" i="1" s="1"/>
  <c r="I192" i="1"/>
  <c r="W192" i="1" l="1"/>
  <c r="K193" i="1"/>
  <c r="G193" i="1" s="1"/>
  <c r="W193" i="1" s="1"/>
  <c r="I193" i="1"/>
  <c r="K194" i="1" l="1"/>
  <c r="G194" i="1" s="1"/>
  <c r="I194" i="1"/>
  <c r="W194" i="1" l="1"/>
  <c r="K195" i="1"/>
  <c r="G195" i="1" s="1"/>
  <c r="W195" i="1" s="1"/>
  <c r="I195" i="1"/>
  <c r="K196" i="1" l="1"/>
  <c r="G196" i="1" s="1"/>
  <c r="W196" i="1" s="1"/>
  <c r="I196" i="1"/>
  <c r="K197" i="1" l="1"/>
  <c r="G197" i="1" s="1"/>
  <c r="W197" i="1" s="1"/>
  <c r="I197" i="1"/>
  <c r="I198" i="1" l="1"/>
  <c r="K198" i="1"/>
  <c r="G198" i="1" s="1"/>
  <c r="W198" i="1" s="1"/>
  <c r="K199" i="1" l="1"/>
  <c r="I199" i="1"/>
  <c r="U199" i="1" s="1"/>
  <c r="K200" i="1" l="1"/>
  <c r="G200" i="1" s="1"/>
  <c r="I200" i="1"/>
  <c r="L199" i="1" l="1"/>
  <c r="K201" i="1"/>
  <c r="G201" i="1" s="1"/>
  <c r="I201" i="1"/>
  <c r="K202" i="1" l="1"/>
  <c r="G202" i="1" s="1"/>
  <c r="I202" i="1"/>
  <c r="G199" i="1"/>
  <c r="W199" i="1" l="1"/>
  <c r="W201" i="1"/>
  <c r="W200" i="1"/>
  <c r="W202" i="1"/>
  <c r="K203" i="1"/>
  <c r="G203" i="1" s="1"/>
  <c r="I203" i="1"/>
  <c r="W203" i="1" l="1"/>
  <c r="K204" i="1"/>
  <c r="G204" i="1" s="1"/>
  <c r="I204" i="1"/>
  <c r="W204" i="1" l="1"/>
  <c r="K205" i="1"/>
  <c r="G205" i="1" s="1"/>
  <c r="I205" i="1"/>
  <c r="W205" i="1" l="1"/>
  <c r="K206" i="1"/>
  <c r="G206" i="1" s="1"/>
  <c r="I206" i="1"/>
  <c r="W206" i="1" l="1"/>
  <c r="K207" i="1"/>
  <c r="G207" i="1" s="1"/>
  <c r="I207" i="1"/>
  <c r="W207" i="1" l="1"/>
  <c r="K208" i="1"/>
  <c r="G208" i="1" s="1"/>
  <c r="W208" i="1" s="1"/>
  <c r="I208" i="1"/>
  <c r="K209" i="1" l="1"/>
  <c r="G209" i="1" s="1"/>
  <c r="W209" i="1" s="1"/>
  <c r="I209" i="1"/>
  <c r="K210" i="1" l="1"/>
  <c r="G210" i="1" s="1"/>
  <c r="W210" i="1" s="1"/>
  <c r="I210" i="1"/>
  <c r="K211" i="1" l="1"/>
  <c r="I211" i="1"/>
  <c r="U211" i="1" s="1"/>
  <c r="K212" i="1" l="1"/>
  <c r="G212" i="1" s="1"/>
  <c r="I212" i="1"/>
  <c r="K213" i="1" l="1"/>
  <c r="G213" i="1" s="1"/>
  <c r="I213" i="1"/>
  <c r="L211" i="1"/>
  <c r="K214" i="1" l="1"/>
  <c r="G214" i="1" s="1"/>
  <c r="I214" i="1"/>
  <c r="G211" i="1"/>
  <c r="W211" i="1" l="1"/>
  <c r="W214" i="1"/>
  <c r="W213" i="1"/>
  <c r="W212" i="1"/>
  <c r="K215" i="1"/>
  <c r="G215" i="1" s="1"/>
  <c r="I215" i="1"/>
  <c r="W215" i="1" l="1"/>
  <c r="K216" i="1"/>
  <c r="G216" i="1" s="1"/>
  <c r="I216" i="1"/>
  <c r="W216" i="1" l="1"/>
  <c r="K217" i="1"/>
  <c r="G217" i="1" s="1"/>
  <c r="W217" i="1" s="1"/>
  <c r="I217" i="1"/>
  <c r="K218" i="1" l="1"/>
  <c r="G218" i="1" s="1"/>
  <c r="W218" i="1" s="1"/>
  <c r="I218" i="1"/>
  <c r="K219" i="1" l="1"/>
  <c r="G219" i="1" s="1"/>
  <c r="W219" i="1" s="1"/>
  <c r="I219" i="1"/>
  <c r="K220" i="1" l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I223" i="1"/>
  <c r="U223" i="1" s="1"/>
  <c r="K224" i="1" l="1"/>
  <c r="G224" i="1" s="1"/>
  <c r="I224" i="1"/>
  <c r="K225" i="1" l="1"/>
  <c r="G225" i="1" s="1"/>
  <c r="I225" i="1"/>
  <c r="L223" i="1"/>
  <c r="K226" i="1" l="1"/>
  <c r="G226" i="1" s="1"/>
  <c r="I226" i="1"/>
  <c r="G223" i="1"/>
  <c r="W224" i="1" l="1"/>
  <c r="W226" i="1"/>
  <c r="W223" i="1"/>
  <c r="W225" i="1"/>
  <c r="K227" i="1"/>
  <c r="G227" i="1" s="1"/>
  <c r="I227" i="1"/>
  <c r="W227" i="1" l="1"/>
  <c r="K228" i="1"/>
  <c r="G228" i="1" s="1"/>
  <c r="I228" i="1"/>
  <c r="W228" i="1" l="1"/>
  <c r="K229" i="1"/>
  <c r="G229" i="1" s="1"/>
  <c r="I229" i="1"/>
  <c r="W229" i="1" l="1"/>
  <c r="K230" i="1"/>
  <c r="G230" i="1" s="1"/>
  <c r="I230" i="1"/>
  <c r="W230" i="1" l="1"/>
  <c r="K231" i="1"/>
  <c r="G231" i="1" s="1"/>
  <c r="W231" i="1" s="1"/>
  <c r="I231" i="1"/>
  <c r="K232" i="1" l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I235" i="1"/>
  <c r="U235" i="1" s="1"/>
  <c r="L235" i="1" l="1"/>
  <c r="K236" i="1"/>
  <c r="G236" i="1" s="1"/>
  <c r="I236" i="1"/>
  <c r="G235" i="1" l="1"/>
  <c r="K237" i="1"/>
  <c r="G237" i="1" s="1"/>
  <c r="I237" i="1"/>
  <c r="W237" i="1" l="1"/>
  <c r="W236" i="1"/>
  <c r="W235" i="1"/>
  <c r="K238" i="1"/>
  <c r="G238" i="1" s="1"/>
  <c r="I238" i="1"/>
  <c r="W238" i="1" l="1"/>
  <c r="K239" i="1"/>
  <c r="G239" i="1" s="1"/>
  <c r="I239" i="1"/>
  <c r="W239" i="1" l="1"/>
  <c r="K240" i="1"/>
  <c r="G240" i="1" s="1"/>
  <c r="I240" i="1"/>
  <c r="W240" i="1" l="1"/>
  <c r="K241" i="1"/>
  <c r="G241" i="1" s="1"/>
  <c r="W241" i="1" s="1"/>
  <c r="I241" i="1"/>
  <c r="K242" i="1" l="1"/>
  <c r="G242" i="1" s="1"/>
  <c r="I242" i="1"/>
  <c r="W242" i="1" l="1"/>
  <c r="K243" i="1"/>
  <c r="G243" i="1" s="1"/>
  <c r="I243" i="1"/>
  <c r="W243" i="1" l="1"/>
  <c r="K244" i="1"/>
  <c r="G244" i="1" s="1"/>
  <c r="W244" i="1" s="1"/>
  <c r="I244" i="1"/>
  <c r="K245" i="1" l="1"/>
  <c r="G245" i="1" s="1"/>
  <c r="W245" i="1" s="1"/>
  <c r="I245" i="1"/>
  <c r="K246" i="1" l="1"/>
  <c r="G246" i="1" s="1"/>
  <c r="W246" i="1" s="1"/>
  <c r="I246" i="1"/>
  <c r="K247" i="1" l="1"/>
  <c r="I247" i="1"/>
  <c r="U247" i="1" s="1"/>
  <c r="L247" i="1" l="1"/>
  <c r="G247" i="1" s="1"/>
  <c r="K248" i="1"/>
  <c r="G248" i="1" s="1"/>
  <c r="I248" i="1"/>
  <c r="W247" i="1" l="1"/>
  <c r="W248" i="1"/>
  <c r="K249" i="1"/>
  <c r="G249" i="1" s="1"/>
  <c r="W249" i="1" s="1"/>
  <c r="I249" i="1"/>
  <c r="K250" i="1" l="1"/>
  <c r="G250" i="1" s="1"/>
  <c r="I250" i="1"/>
  <c r="W250" i="1" l="1"/>
  <c r="K251" i="1"/>
  <c r="G251" i="1" s="1"/>
  <c r="I251" i="1"/>
  <c r="W251" i="1" l="1"/>
  <c r="K252" i="1"/>
  <c r="G252" i="1" s="1"/>
  <c r="I252" i="1"/>
  <c r="W252" i="1" l="1"/>
  <c r="K253" i="1"/>
  <c r="G253" i="1" s="1"/>
  <c r="I253" i="1"/>
  <c r="W253" i="1" l="1"/>
  <c r="K254" i="1"/>
  <c r="G254" i="1" s="1"/>
  <c r="W254" i="1" s="1"/>
  <c r="I254" i="1"/>
  <c r="K255" i="1" l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I259" i="1"/>
  <c r="U259" i="1" s="1"/>
  <c r="L259" i="1" l="1"/>
  <c r="K260" i="1"/>
  <c r="G260" i="1" s="1"/>
  <c r="I260" i="1"/>
  <c r="G259" i="1" l="1"/>
  <c r="K261" i="1"/>
  <c r="G261" i="1" s="1"/>
  <c r="I261" i="1"/>
  <c r="W261" i="1" l="1"/>
  <c r="W259" i="1"/>
  <c r="W260" i="1"/>
  <c r="K262" i="1"/>
  <c r="G262" i="1" s="1"/>
  <c r="I262" i="1"/>
  <c r="W262" i="1" l="1"/>
  <c r="K263" i="1"/>
  <c r="G263" i="1" s="1"/>
  <c r="I263" i="1"/>
  <c r="W263" i="1" l="1"/>
  <c r="K264" i="1"/>
  <c r="G264" i="1" s="1"/>
  <c r="I264" i="1"/>
  <c r="W264" i="1" l="1"/>
  <c r="K265" i="1"/>
  <c r="G265" i="1" s="1"/>
  <c r="W265" i="1" s="1"/>
  <c r="I265" i="1"/>
  <c r="K266" i="1" l="1"/>
  <c r="G266" i="1" s="1"/>
  <c r="I266" i="1"/>
  <c r="W266" i="1" l="1"/>
  <c r="K267" i="1"/>
  <c r="G267" i="1" s="1"/>
  <c r="W267" i="1" s="1"/>
  <c r="I267" i="1"/>
  <c r="K268" i="1" l="1"/>
  <c r="G268" i="1" s="1"/>
  <c r="I268" i="1"/>
  <c r="W268" i="1" l="1"/>
  <c r="K269" i="1"/>
  <c r="G269" i="1" s="1"/>
  <c r="W269" i="1" s="1"/>
  <c r="I269" i="1"/>
  <c r="K270" i="1" l="1"/>
  <c r="G270" i="1" s="1"/>
  <c r="W270" i="1" s="1"/>
  <c r="I270" i="1"/>
  <c r="K271" i="1" l="1"/>
  <c r="I271" i="1"/>
  <c r="U271" i="1" s="1"/>
  <c r="K272" i="1" l="1"/>
  <c r="G272" i="1" s="1"/>
  <c r="I272" i="1"/>
  <c r="K273" i="1" l="1"/>
  <c r="G273" i="1" s="1"/>
  <c r="I273" i="1"/>
  <c r="L271" i="1"/>
  <c r="U284" i="1"/>
  <c r="K274" i="1" l="1"/>
  <c r="G274" i="1" s="1"/>
  <c r="I274" i="1"/>
  <c r="L284" i="1"/>
  <c r="G271" i="1"/>
  <c r="W273" i="1" l="1"/>
  <c r="W274" i="1"/>
  <c r="W272" i="1"/>
  <c r="W271" i="1"/>
  <c r="K275" i="1"/>
  <c r="G275" i="1" s="1"/>
  <c r="I275" i="1"/>
  <c r="W275" i="1" l="1"/>
  <c r="K276" i="1"/>
  <c r="G276" i="1" s="1"/>
  <c r="I276" i="1"/>
  <c r="W276" i="1" l="1"/>
  <c r="K277" i="1"/>
  <c r="G277" i="1" s="1"/>
  <c r="I277" i="1"/>
  <c r="W277" i="1" l="1"/>
  <c r="K278" i="1"/>
  <c r="G278" i="1" s="1"/>
  <c r="I278" i="1"/>
  <c r="W278" i="1" l="1"/>
  <c r="K279" i="1"/>
  <c r="G279" i="1" s="1"/>
  <c r="I279" i="1"/>
  <c r="W279" i="1" l="1"/>
  <c r="K280" i="1"/>
  <c r="G280" i="1" s="1"/>
  <c r="I280" i="1"/>
  <c r="W280" i="1" l="1"/>
  <c r="K281" i="1"/>
  <c r="G281" i="1" s="1"/>
  <c r="W281" i="1" s="1"/>
  <c r="I281" i="1"/>
  <c r="K282" i="1" l="1"/>
  <c r="G282" i="1" s="1"/>
  <c r="W282" i="1" s="1"/>
  <c r="I282" i="1"/>
  <c r="K283" i="1" l="1"/>
  <c r="I283" i="1"/>
  <c r="G283" i="1" l="1"/>
  <c r="W283" i="1" s="1"/>
  <c r="K284" i="1"/>
  <c r="X284" i="1" s="1"/>
  <c r="O35" i="1" l="1"/>
  <c r="Y284" i="1"/>
  <c r="G284" i="1"/>
  <c r="O36" i="1" l="1"/>
  <c r="O33" i="1"/>
</calcChain>
</file>

<file path=xl/sharedStrings.xml><?xml version="1.0" encoding="utf-8"?>
<sst xmlns="http://schemas.openxmlformats.org/spreadsheetml/2006/main" count="158" uniqueCount="77">
  <si>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</si>
  <si>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</si>
  <si>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</si>
  <si>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</si>
  <si>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</si>
  <si>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</si>
  <si>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</si>
  <si>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</si>
  <si>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</si>
  <si>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</si>
  <si>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</si>
  <si>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</si>
  <si>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</si>
  <si>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</si>
  <si>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</si>
  <si>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</si>
  <si>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</si>
  <si>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</si>
  <si>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</si>
  <si>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</si>
  <si>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</si>
  <si>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</si>
  <si>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</si>
  <si>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</si>
  <si>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</si>
  <si>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</si>
  <si>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</si>
  <si>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</si>
  <si>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</si>
  <si>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</si>
  <si>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</si>
  <si>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</si>
  <si>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</si>
  <si>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</si>
  <si>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</si>
  <si>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</si>
  <si>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</si>
  <si>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</si>
  <si>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</si>
  <si>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</si>
  <si>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</si>
  <si>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</si>
  <si>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</si>
  <si>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</si>
  <si>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</si>
  <si>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</si>
  <si>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</si>
  <si>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</si>
  <si>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</si>
  <si>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</si>
  <si>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</si>
  <si>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</si>
  <si>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</si>
  <si>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</si>
  <si>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</si>
  <si>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</si>
  <si>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</si>
  <si>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</si>
  <si>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</si>
  <si>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</si>
  <si>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</si>
  <si>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</si>
  <si>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</si>
  <si>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Загальна вартість забезпечення:</t>
  </si>
  <si>
    <t>від суми кредиту, максимально</t>
  </si>
  <si>
    <t xml:space="preserve"> від вартості майна      +</t>
  </si>
  <si>
    <t>Інформативно: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</si>
  <si>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ДЕПОЗИТ у ДОЛАРАХ США/ЄВРО)</t>
  </si>
  <si>
    <t>Еквівалент у гривні</t>
  </si>
  <si>
    <t>Курс НБУ</t>
  </si>
  <si>
    <t>Сума вкладу, валюта</t>
  </si>
  <si>
    <t>https://bank.gov.ua/</t>
  </si>
  <si>
    <t>сума кредиту від 50,0 тис грн до 10,0 млн. грн., але не більше 90% від гривневого еквіваленту депозиту на день прийняття рішення про надання кредиту</t>
  </si>
  <si>
    <t>мінімальний строк кредиту - 1 місяць, максимальний - 60 місяців, але не більше за строк депозиту</t>
  </si>
  <si>
    <r>
      <t xml:space="preserve">Графік погашення: </t>
    </r>
    <r>
      <rPr>
        <b/>
        <u/>
        <sz val="11"/>
        <rFont val="Calibri"/>
        <family val="2"/>
        <charset val="204"/>
        <scheme val="minor"/>
      </rPr>
      <t>класичний, в т.ч. кредитна лінія</t>
    </r>
  </si>
  <si>
    <r>
      <t xml:space="preserve">Графік погашення: </t>
    </r>
    <r>
      <rPr>
        <b/>
        <u/>
        <sz val="11"/>
        <color indexed="8"/>
        <rFont val="Calibri"/>
        <family val="2"/>
        <charset val="204"/>
        <scheme val="minor"/>
      </rPr>
      <t>ануїтет</t>
    </r>
  </si>
  <si>
    <t>Облікова ставка  НБУ+8% (змінювана), мінімальна - 20,0%, максимальна - 27,0%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</si>
</sst>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0000"/>
    <numFmt numFmtId="166" formatCode="0.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6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2" xfId="0" applyNumberFormat="1" applyFont="1" applyBorder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64" fontId="38" fillId="0" borderId="0" xfId="50" applyNumberFormat="1" applyFont="1" applyFill="1" applyBorder="1" applyAlignment="1" applyProtection="1">
      <alignment horizontal="center" vertical="top" wrapText="1"/>
      <protection hidden="1"/>
    </xf>
    <xf numFmtId="10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3" fontId="32" fillId="0" borderId="42" xfId="5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horizontal="center" vertical="center" wrapText="1"/>
      <protection hidden="1"/>
    </xf>
    <xf numFmtId="10" fontId="3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5" fillId="0" borderId="0" xfId="0" applyNumberFormat="1" applyFont="1" applyFill="1" applyBorder="1" applyAlignment="1" applyProtection="1">
      <alignment horizontal="center"/>
      <protection hidden="1"/>
    </xf>
    <xf numFmtId="166" fontId="25" fillId="0" borderId="0" xfId="0" applyNumberFormat="1" applyFont="1" applyFill="1" applyBorder="1" applyAlignment="1" applyProtection="1">
      <alignment horizontal="center"/>
      <protection hidden="1"/>
    </xf>
    <xf numFmtId="0" fontId="38" fillId="34" borderId="69" xfId="0" applyNumberFormat="1" applyFont="1" applyFill="1" applyBorder="1" applyAlignment="1" applyProtection="1">
      <alignment horizontal="center" vertical="top" wrapText="1"/>
      <protection hidden="1"/>
    </xf>
    <xf numFmtId="0" fontId="38" fillId="0" borderId="70" xfId="0" applyNumberFormat="1" applyFont="1" applyFill="1" applyBorder="1" applyAlignment="1" applyProtection="1">
      <alignment horizontal="center" vertical="top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4" fontId="38" fillId="0" borderId="72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1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horizontal="left"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0" fontId="38" fillId="0" borderId="43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1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4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63" xfId="0" applyFont="1" applyBorder="1" applyAlignment="1" applyProtection="1">
      <alignment horizontal="left"/>
      <protection hidden="1"/>
    </xf>
    <xf numFmtId="0" fontId="34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4" fontId="38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3" xfId="0" applyNumberFormat="1" applyFont="1" applyFill="1" applyBorder="1" applyAlignment="1" applyProtection="1">
      <alignment vertical="top" wrapText="1"/>
      <protection hidden="1"/>
    </xf>
    <xf numFmtId="0" fontId="32" fillId="0" borderId="34" xfId="0" applyNumberFormat="1" applyFont="1" applyFill="1" applyBorder="1" applyAlignment="1" applyProtection="1">
      <alignment vertical="top" wrapText="1"/>
      <protection hidden="1"/>
    </xf>
    <xf numFmtId="10" fontId="40" fillId="0" borderId="71" xfId="52" applyNumberForma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left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vertical="top" wrapText="1"/>
      <protection hidden="1"/>
    </xf>
    <xf numFmtId="0" fontId="32" fillId="0" borderId="29" xfId="0" applyNumberFormat="1" applyFont="1" applyFill="1" applyBorder="1" applyAlignment="1" applyProtection="1">
      <alignment vertical="top" wrapText="1"/>
      <protection hidden="1"/>
    </xf>
    <xf numFmtId="0" fontId="3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8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6" xfId="0" applyNumberFormat="1" applyFont="1" applyFill="1" applyBorder="1" applyAlignment="1" applyProtection="1">
      <alignment horizontal="left" vertical="top" wrapText="1"/>
      <protection hidden="1"/>
    </xf>
    <xf numFmtId="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1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4" fontId="19" fillId="34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58" xfId="0" applyNumberFormat="1" applyFont="1" applyFill="1" applyBorder="1" applyAlignment="1" applyProtection="1">
      <alignment horizontal="left" vertical="top" wrapText="1"/>
      <protection hidden="1"/>
    </xf>
    <xf numFmtId="4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1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6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9" fontId="19" fillId="0" borderId="44" xfId="50" applyFont="1" applyFill="1" applyBorder="1" applyAlignment="1" applyProtection="1">
      <alignment horizontal="center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0" fontId="18" fillId="0" borderId="44" xfId="0" applyNumberFormat="1" applyFont="1" applyFill="1" applyBorder="1" applyAlignment="1" applyProtection="1">
      <alignment vertical="center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</cellXfs>
  <cellStyles count="5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5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Финансовый" xfId="51" builtinId="3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657224</xdr:colOff>
      <xdr:row>2</xdr:row>
      <xdr:rowOff>76200</xdr:rowOff>
    </xdr:from>
    <xdr:to>
      <xdr:col>20</xdr:col>
      <xdr:colOff>200024</xdr:colOff>
      <xdr:row>11</xdr:row>
      <xdr:rowOff>66675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83ADE22-ACF3-435E-9F7B-FBD56B26C0A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4" y="400050"/>
          <a:ext cx="3152775" cy="1038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5</xdr:row>
      <xdr:rowOff>0</xdr:rowOff>
    </xdr:from>
    <xdr:to>
      <xdr:col>21</xdr:col>
      <xdr:colOff>1037355</xdr:colOff>
      <xdr:row>23</xdr:row>
      <xdr:rowOff>150585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1142EFE-81B5-4B59-94F1-2B6B4F598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9075" y="838200"/>
          <a:ext cx="3151905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86"/>
  <sheetViews>
    <sheetView tabSelected="1" view="pageBreakPreview" zoomScaleNormal="85" zoomScaleSheetLayoutView="100" workbookViewId="0">
      <selection activeCell="O43" sqref="O43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0.140625" style="9" customWidth="1"/>
    <col min="20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54" t="s">
        <v>67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2:24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2:24" x14ac:dyDescent="0.2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2:24" ht="21" customHeight="1" x14ac:dyDescent="0.2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101" t="s">
        <v>0</v>
      </c>
      <c r="D7" s="101"/>
      <c r="E7" s="101"/>
      <c r="F7" s="102">
        <v>44197</v>
      </c>
      <c r="G7" s="10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101" t="s">
        <v>27</v>
      </c>
      <c r="D8" s="101"/>
      <c r="E8" s="101"/>
      <c r="F8" s="102">
        <v>51502</v>
      </c>
      <c r="G8" s="102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155" t="s">
        <v>40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hidden="1" customHeight="1" x14ac:dyDescent="0.2">
      <c r="P10" s="5"/>
      <c r="Q10" s="5"/>
      <c r="R10" s="6"/>
      <c r="S10" s="6"/>
      <c r="T10" s="158"/>
      <c r="U10" s="158"/>
      <c r="V10" s="7"/>
    </row>
    <row r="11" spans="2:24" ht="12.75" hidden="1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30" customHeight="1" x14ac:dyDescent="0.25">
      <c r="G13" s="144" t="s">
        <v>1</v>
      </c>
      <c r="H13" s="131"/>
      <c r="I13" s="131"/>
      <c r="J13" s="142">
        <v>10000000</v>
      </c>
      <c r="K13" s="142"/>
      <c r="L13" s="131" t="s">
        <v>10</v>
      </c>
      <c r="M13" s="132"/>
      <c r="N13" s="110" t="s">
        <v>72</v>
      </c>
      <c r="O13" s="110"/>
      <c r="P13" s="110"/>
      <c r="Q13" s="110"/>
      <c r="R13" s="110"/>
      <c r="S13" s="110"/>
      <c r="T13" s="110"/>
      <c r="U13" s="111"/>
      <c r="V13" s="78"/>
    </row>
    <row r="14" spans="2:24" s="2" customFormat="1" ht="15" x14ac:dyDescent="0.25">
      <c r="G14" s="105" t="s">
        <v>2</v>
      </c>
      <c r="H14" s="106"/>
      <c r="I14" s="106"/>
      <c r="J14" s="149">
        <v>60</v>
      </c>
      <c r="K14" s="149"/>
      <c r="L14" s="119" t="s">
        <v>3</v>
      </c>
      <c r="M14" s="120"/>
      <c r="N14" s="112" t="s">
        <v>73</v>
      </c>
      <c r="O14" s="112"/>
      <c r="P14" s="112"/>
      <c r="Q14" s="112"/>
      <c r="R14" s="112"/>
      <c r="S14" s="112"/>
      <c r="T14" s="112"/>
      <c r="U14" s="113"/>
      <c r="V14" s="78"/>
    </row>
    <row r="15" spans="2:24" s="2" customFormat="1" ht="15" x14ac:dyDescent="0.25">
      <c r="G15" s="105" t="s">
        <v>63</v>
      </c>
      <c r="H15" s="106"/>
      <c r="I15" s="106"/>
      <c r="J15" s="115">
        <v>11500000</v>
      </c>
      <c r="K15" s="115"/>
      <c r="L15" s="119" t="s">
        <v>10</v>
      </c>
      <c r="M15" s="120"/>
      <c r="N15" s="112"/>
      <c r="O15" s="112"/>
      <c r="P15" s="112"/>
      <c r="Q15" s="112"/>
      <c r="R15" s="112"/>
      <c r="S15" s="112"/>
      <c r="T15" s="112"/>
      <c r="U15" s="113"/>
      <c r="V15" s="78"/>
    </row>
    <row r="16" spans="2:24" s="2" customFormat="1" ht="15" customHeight="1" x14ac:dyDescent="0.25">
      <c r="G16" s="105" t="s">
        <v>31</v>
      </c>
      <c r="H16" s="106"/>
      <c r="I16" s="106"/>
      <c r="J16" s="143">
        <f>J13*N16</f>
        <v>50000</v>
      </c>
      <c r="K16" s="143"/>
      <c r="L16" s="119" t="s">
        <v>10</v>
      </c>
      <c r="M16" s="120"/>
      <c r="N16" s="90">
        <v>5.0000000000000001E-3</v>
      </c>
      <c r="O16" s="168" t="s">
        <v>64</v>
      </c>
      <c r="P16" s="169"/>
      <c r="Q16" s="169"/>
      <c r="R16" s="169"/>
      <c r="S16" s="169"/>
      <c r="T16" s="169"/>
      <c r="U16" s="170"/>
      <c r="V16" s="78"/>
    </row>
    <row r="17" spans="7:22" s="2" customFormat="1" ht="15" x14ac:dyDescent="0.25">
      <c r="G17" s="105" t="s">
        <v>32</v>
      </c>
      <c r="H17" s="106"/>
      <c r="I17" s="106"/>
      <c r="J17" s="143">
        <v>150</v>
      </c>
      <c r="K17" s="143"/>
      <c r="L17" s="119" t="s">
        <v>10</v>
      </c>
      <c r="M17" s="120"/>
      <c r="N17" s="112" t="s">
        <v>37</v>
      </c>
      <c r="O17" s="112"/>
      <c r="P17" s="112"/>
      <c r="Q17" s="112"/>
      <c r="R17" s="112"/>
      <c r="S17" s="112"/>
      <c r="T17" s="112"/>
      <c r="U17" s="113"/>
      <c r="V17" s="4"/>
    </row>
    <row r="18" spans="7:22" s="2" customFormat="1" ht="15" hidden="1" customHeight="1" x14ac:dyDescent="0.25">
      <c r="G18" s="105" t="s">
        <v>57</v>
      </c>
      <c r="H18" s="106"/>
      <c r="I18" s="106"/>
      <c r="J18" s="143">
        <f>J15*N18+Q18</f>
        <v>0</v>
      </c>
      <c r="K18" s="143"/>
      <c r="L18" s="119" t="s">
        <v>10</v>
      </c>
      <c r="M18" s="120"/>
      <c r="N18" s="89">
        <v>0</v>
      </c>
      <c r="O18" s="168" t="s">
        <v>65</v>
      </c>
      <c r="P18" s="171"/>
      <c r="Q18" s="88">
        <v>0</v>
      </c>
      <c r="R18" s="84" t="s">
        <v>10</v>
      </c>
      <c r="S18" s="168"/>
      <c r="T18" s="169"/>
      <c r="U18" s="170"/>
      <c r="V18" s="4"/>
    </row>
    <row r="19" spans="7:22" s="2" customFormat="1" ht="15" x14ac:dyDescent="0.25">
      <c r="G19" s="145" t="s">
        <v>33</v>
      </c>
      <c r="H19" s="119"/>
      <c r="I19" s="119"/>
      <c r="J19" s="143">
        <v>150</v>
      </c>
      <c r="K19" s="143"/>
      <c r="L19" s="119" t="s">
        <v>10</v>
      </c>
      <c r="M19" s="119"/>
      <c r="N19" s="114" t="s">
        <v>35</v>
      </c>
      <c r="O19" s="112"/>
      <c r="P19" s="112"/>
      <c r="Q19" s="112"/>
      <c r="R19" s="112"/>
      <c r="S19" s="112"/>
      <c r="T19" s="112"/>
      <c r="U19" s="113"/>
      <c r="V19" s="4"/>
    </row>
    <row r="20" spans="7:22" s="2" customFormat="1" ht="15" hidden="1" x14ac:dyDescent="0.25">
      <c r="G20" s="105" t="s">
        <v>58</v>
      </c>
      <c r="H20" s="106"/>
      <c r="I20" s="107"/>
      <c r="J20" s="103">
        <f>J15*N20</f>
        <v>0</v>
      </c>
      <c r="K20" s="103"/>
      <c r="L20" s="123" t="s">
        <v>10</v>
      </c>
      <c r="M20" s="124"/>
      <c r="N20" s="81">
        <v>0</v>
      </c>
      <c r="O20" s="128" t="s">
        <v>61</v>
      </c>
      <c r="P20" s="128"/>
      <c r="Q20" s="128"/>
      <c r="R20" s="128"/>
      <c r="S20" s="128"/>
      <c r="T20" s="128"/>
      <c r="U20" s="129"/>
      <c r="V20" s="77"/>
    </row>
    <row r="21" spans="7:22" s="2" customFormat="1" ht="15" hidden="1" x14ac:dyDescent="0.25">
      <c r="G21" s="105" t="s">
        <v>38</v>
      </c>
      <c r="H21" s="106"/>
      <c r="I21" s="107"/>
      <c r="J21" s="104">
        <f>J13*N21</f>
        <v>0</v>
      </c>
      <c r="K21" s="104"/>
      <c r="L21" s="112" t="s">
        <v>10</v>
      </c>
      <c r="M21" s="125"/>
      <c r="N21" s="81">
        <v>0</v>
      </c>
      <c r="O21" s="128" t="s">
        <v>62</v>
      </c>
      <c r="P21" s="128"/>
      <c r="Q21" s="128"/>
      <c r="R21" s="128"/>
      <c r="S21" s="128"/>
      <c r="T21" s="128"/>
      <c r="U21" s="129"/>
      <c r="V21" s="77"/>
    </row>
    <row r="22" spans="7:22" s="2" customFormat="1" ht="15.75" thickBot="1" x14ac:dyDescent="0.3">
      <c r="G22" s="116" t="s">
        <v>56</v>
      </c>
      <c r="H22" s="117"/>
      <c r="I22" s="117"/>
      <c r="J22" s="118">
        <v>0.13</v>
      </c>
      <c r="K22" s="118"/>
      <c r="L22" s="126" t="s">
        <v>4</v>
      </c>
      <c r="M22" s="127"/>
      <c r="N22" s="121" t="s">
        <v>76</v>
      </c>
      <c r="O22" s="121"/>
      <c r="P22" s="121"/>
      <c r="Q22" s="121"/>
      <c r="R22" s="121"/>
      <c r="S22" s="121"/>
      <c r="T22" s="121"/>
      <c r="U22" s="122"/>
      <c r="V22" s="77"/>
    </row>
    <row r="23" spans="7:22" s="2" customFormat="1" ht="15" hidden="1" x14ac:dyDescent="0.25">
      <c r="G23" s="82"/>
      <c r="H23" s="82"/>
      <c r="I23" s="82"/>
      <c r="J23" s="86"/>
      <c r="K23" s="86"/>
      <c r="L23" s="80"/>
      <c r="M23" s="80"/>
      <c r="N23" s="87"/>
      <c r="O23" s="87"/>
      <c r="P23" s="87"/>
      <c r="Q23" s="87"/>
      <c r="R23" s="87"/>
      <c r="S23" s="87"/>
      <c r="T23" s="87"/>
      <c r="U23" s="87"/>
      <c r="V23" s="77"/>
    </row>
    <row r="24" spans="7:22" s="2" customFormat="1" ht="15" hidden="1" x14ac:dyDescent="0.25">
      <c r="G24" s="82"/>
      <c r="H24" s="82"/>
      <c r="I24" s="82"/>
      <c r="J24" s="86"/>
      <c r="K24" s="86"/>
      <c r="L24" s="80"/>
      <c r="M24" s="80"/>
      <c r="N24" s="87"/>
      <c r="O24" s="87"/>
      <c r="P24" s="87"/>
      <c r="Q24" s="87"/>
      <c r="R24" s="87"/>
      <c r="S24" s="87"/>
      <c r="T24" s="87"/>
      <c r="U24" s="87"/>
      <c r="V24" s="77"/>
    </row>
    <row r="25" spans="7:22" s="2" customFormat="1" ht="15" x14ac:dyDescent="0.25">
      <c r="G25" s="108" t="s">
        <v>42</v>
      </c>
      <c r="H25" s="108"/>
      <c r="I25" s="108"/>
      <c r="J25" s="108"/>
      <c r="K25" s="79"/>
      <c r="L25" s="80"/>
      <c r="M25" s="80"/>
      <c r="N25" s="71"/>
      <c r="O25" s="71"/>
      <c r="P25" s="71"/>
      <c r="Q25" s="71"/>
      <c r="R25" s="71"/>
      <c r="S25" s="71"/>
      <c r="T25" s="77"/>
      <c r="U25" s="77"/>
      <c r="V25" s="77"/>
    </row>
    <row r="26" spans="7:22" s="2" customFormat="1" ht="15.75" thickBot="1" x14ac:dyDescent="0.3">
      <c r="G26" s="83"/>
      <c r="H26" s="83"/>
      <c r="I26" s="83"/>
      <c r="J26" s="83"/>
      <c r="K26" s="91"/>
      <c r="L26" s="80"/>
      <c r="M26" s="80"/>
      <c r="N26" s="71"/>
      <c r="O26" s="71"/>
      <c r="P26" s="71"/>
      <c r="Q26" s="71"/>
      <c r="R26" s="71"/>
      <c r="S26" s="71"/>
      <c r="T26" s="77"/>
      <c r="U26" s="77"/>
      <c r="V26" s="77"/>
    </row>
    <row r="27" spans="7:22" ht="15" x14ac:dyDescent="0.2">
      <c r="G27" s="172" t="s">
        <v>66</v>
      </c>
      <c r="H27" s="173"/>
      <c r="I27" s="174"/>
      <c r="J27" s="14"/>
      <c r="K27" s="14"/>
      <c r="L27" s="11"/>
      <c r="M27" s="11"/>
      <c r="N27" s="12"/>
      <c r="O27" s="12"/>
      <c r="P27" s="12"/>
      <c r="Q27" s="12"/>
      <c r="R27" s="12"/>
      <c r="S27" s="12"/>
      <c r="T27" s="92"/>
      <c r="U27" s="70"/>
      <c r="V27" s="69"/>
    </row>
    <row r="28" spans="7:22" ht="15" x14ac:dyDescent="0.2">
      <c r="G28" s="166" t="s">
        <v>70</v>
      </c>
      <c r="H28" s="167"/>
      <c r="I28" s="94"/>
      <c r="J28" s="14"/>
      <c r="K28" s="14"/>
      <c r="L28" s="85"/>
      <c r="M28" s="85"/>
      <c r="N28" s="12"/>
      <c r="O28" s="12"/>
      <c r="P28" s="12"/>
      <c r="Q28" s="12"/>
      <c r="R28" s="12"/>
      <c r="S28" s="12"/>
      <c r="T28" s="93"/>
      <c r="U28" s="70"/>
      <c r="V28" s="69"/>
    </row>
    <row r="29" spans="7:22" ht="15" x14ac:dyDescent="0.2">
      <c r="G29" s="166" t="s">
        <v>69</v>
      </c>
      <c r="H29" s="167"/>
      <c r="I29" s="94"/>
      <c r="J29" s="152" t="s">
        <v>71</v>
      </c>
      <c r="K29" s="153"/>
      <c r="L29" s="153"/>
      <c r="M29" s="85"/>
      <c r="N29" s="12"/>
      <c r="O29" s="12"/>
      <c r="P29" s="12"/>
      <c r="Q29" s="12"/>
      <c r="R29" s="12"/>
      <c r="S29" s="12"/>
      <c r="T29" s="70"/>
      <c r="U29" s="70"/>
      <c r="V29" s="69"/>
    </row>
    <row r="30" spans="7:22" ht="15.75" thickBot="1" x14ac:dyDescent="0.25">
      <c r="G30" s="150" t="s">
        <v>68</v>
      </c>
      <c r="H30" s="151"/>
      <c r="I30" s="95">
        <f>I28*I29</f>
        <v>0</v>
      </c>
      <c r="J30" s="14"/>
      <c r="K30" s="14"/>
      <c r="L30" s="85"/>
      <c r="M30" s="85"/>
      <c r="N30" s="12"/>
      <c r="O30" s="12"/>
      <c r="P30" s="12"/>
      <c r="Q30" s="12"/>
      <c r="R30" s="12"/>
      <c r="S30" s="12"/>
      <c r="T30" s="70"/>
      <c r="U30" s="70"/>
      <c r="V30" s="69"/>
    </row>
    <row r="31" spans="7:22" ht="12.75" customHeight="1" x14ac:dyDescent="0.2">
      <c r="G31" s="13"/>
      <c r="H31" s="13"/>
      <c r="I31" s="13"/>
      <c r="J31" s="14"/>
      <c r="K31" s="14"/>
      <c r="L31" s="85"/>
      <c r="M31" s="85"/>
      <c r="N31" s="12"/>
      <c r="O31" s="12"/>
      <c r="P31" s="12"/>
      <c r="Q31" s="12"/>
      <c r="R31" s="12"/>
      <c r="S31" s="12"/>
      <c r="T31" s="70"/>
      <c r="U31" s="70"/>
      <c r="V31" s="69"/>
    </row>
    <row r="32" spans="7:22" s="2" customFormat="1" ht="15" x14ac:dyDescent="0.25">
      <c r="G32" s="130" t="s">
        <v>74</v>
      </c>
      <c r="H32" s="130"/>
      <c r="I32" s="130"/>
      <c r="J32" s="130"/>
      <c r="K32" s="130"/>
      <c r="L32" s="130"/>
      <c r="M32" s="130"/>
      <c r="N32" s="130"/>
      <c r="O32" s="71"/>
      <c r="P32" s="71"/>
      <c r="Q32" s="71"/>
      <c r="R32" s="71"/>
      <c r="S32" s="71"/>
      <c r="T32" s="72"/>
      <c r="U32" s="72"/>
      <c r="V32" s="73"/>
    </row>
    <row r="33" spans="2:25" s="2" customFormat="1" ht="15" x14ac:dyDescent="0.25">
      <c r="G33" s="109" t="s">
        <v>46</v>
      </c>
      <c r="H33" s="109"/>
      <c r="I33" s="109"/>
      <c r="J33" s="109"/>
      <c r="K33" s="109"/>
      <c r="L33" s="109"/>
      <c r="M33" s="109"/>
      <c r="N33" s="109"/>
      <c r="O33" s="74">
        <f>MAX('Умови та класичний графік'!W47:W284)</f>
        <v>0.13958305175781255</v>
      </c>
      <c r="P33" s="75"/>
      <c r="Q33" s="75"/>
      <c r="R33" s="75"/>
      <c r="S33" s="75"/>
      <c r="T33" s="73"/>
      <c r="U33" s="73"/>
      <c r="V33" s="73"/>
    </row>
    <row r="34" spans="2:25" s="2" customFormat="1" ht="15" x14ac:dyDescent="0.25">
      <c r="G34" s="109" t="s">
        <v>39</v>
      </c>
      <c r="H34" s="109"/>
      <c r="I34" s="109"/>
      <c r="J34" s="109"/>
      <c r="K34" s="109"/>
      <c r="L34" s="109"/>
      <c r="M34" s="109"/>
      <c r="N34" s="109"/>
      <c r="O34" s="76">
        <f>J16+J17+J18+J19+J20+J21</f>
        <v>50300</v>
      </c>
      <c r="P34" s="75"/>
      <c r="Q34" s="75"/>
      <c r="R34" s="75"/>
      <c r="S34" s="75"/>
      <c r="T34" s="73"/>
      <c r="U34" s="73"/>
      <c r="V34" s="73"/>
    </row>
    <row r="35" spans="2:25" s="2" customFormat="1" ht="15" x14ac:dyDescent="0.25">
      <c r="G35" s="109" t="s">
        <v>44</v>
      </c>
      <c r="H35" s="109"/>
      <c r="I35" s="109"/>
      <c r="J35" s="109"/>
      <c r="K35" s="109"/>
      <c r="L35" s="109"/>
      <c r="M35" s="109"/>
      <c r="N35" s="109"/>
      <c r="O35" s="76">
        <f>'Умови та класичний графік'!X284</f>
        <v>6553861.6438356219</v>
      </c>
      <c r="P35" s="75"/>
      <c r="Q35" s="75"/>
      <c r="R35" s="75"/>
      <c r="S35" s="75"/>
      <c r="T35" s="73"/>
      <c r="U35" s="73"/>
      <c r="V35" s="73"/>
    </row>
    <row r="36" spans="2:25" s="2" customFormat="1" ht="15" x14ac:dyDescent="0.25">
      <c r="G36" s="109" t="s">
        <v>45</v>
      </c>
      <c r="H36" s="109"/>
      <c r="I36" s="109"/>
      <c r="J36" s="109"/>
      <c r="K36" s="109"/>
      <c r="L36" s="109"/>
      <c r="M36" s="109"/>
      <c r="N36" s="109"/>
      <c r="O36" s="76">
        <f>'Умови та класичний графік'!Y284</f>
        <v>16553861.643835623</v>
      </c>
      <c r="P36" s="75"/>
      <c r="Q36" s="75"/>
      <c r="R36" s="75"/>
      <c r="S36" s="75"/>
      <c r="T36" s="77"/>
      <c r="U36" s="77"/>
      <c r="V36" s="77"/>
    </row>
    <row r="37" spans="2:25" x14ac:dyDescent="0.2">
      <c r="L37" s="1"/>
      <c r="R37" s="58"/>
      <c r="S37" s="59"/>
      <c r="T37" s="59"/>
      <c r="U37" s="59"/>
      <c r="V37" s="59"/>
    </row>
    <row r="38" spans="2:25" s="9" customFormat="1" ht="12.75" customHeight="1" x14ac:dyDescent="0.2">
      <c r="B38" s="156" t="s">
        <v>36</v>
      </c>
      <c r="C38" s="156" t="s">
        <v>26</v>
      </c>
      <c r="D38" s="156" t="s">
        <v>6</v>
      </c>
      <c r="E38" s="156"/>
      <c r="F38" s="159" t="s">
        <v>12</v>
      </c>
      <c r="G38" s="162" t="s">
        <v>48</v>
      </c>
      <c r="H38" s="163"/>
      <c r="I38" s="98" t="s">
        <v>29</v>
      </c>
      <c r="J38" s="135" t="s">
        <v>11</v>
      </c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98" t="s">
        <v>49</v>
      </c>
      <c r="X38" s="156" t="s">
        <v>50</v>
      </c>
      <c r="Y38" s="156" t="s">
        <v>51</v>
      </c>
    </row>
    <row r="39" spans="2:25" s="9" customFormat="1" ht="12.75" customHeight="1" x14ac:dyDescent="0.2">
      <c r="B39" s="156"/>
      <c r="C39" s="156"/>
      <c r="D39" s="156"/>
      <c r="E39" s="156"/>
      <c r="F39" s="160"/>
      <c r="G39" s="164"/>
      <c r="H39" s="165"/>
      <c r="I39" s="99"/>
      <c r="J39" s="133" t="s">
        <v>53</v>
      </c>
      <c r="K39" s="133" t="s">
        <v>52</v>
      </c>
      <c r="L39" s="98" t="s">
        <v>30</v>
      </c>
      <c r="M39" s="136" t="s">
        <v>13</v>
      </c>
      <c r="N39" s="137"/>
      <c r="O39" s="137"/>
      <c r="P39" s="137"/>
      <c r="Q39" s="137"/>
      <c r="R39" s="137"/>
      <c r="S39" s="137"/>
      <c r="T39" s="137"/>
      <c r="U39" s="137"/>
      <c r="V39" s="138"/>
      <c r="W39" s="99"/>
      <c r="X39" s="156"/>
      <c r="Y39" s="156"/>
    </row>
    <row r="40" spans="2:25" s="9" customFormat="1" ht="15" customHeight="1" x14ac:dyDescent="0.2">
      <c r="B40" s="156"/>
      <c r="C40" s="156"/>
      <c r="D40" s="156"/>
      <c r="E40" s="156"/>
      <c r="F40" s="160"/>
      <c r="G40" s="164"/>
      <c r="H40" s="165"/>
      <c r="I40" s="99"/>
      <c r="J40" s="134"/>
      <c r="K40" s="134"/>
      <c r="L40" s="99"/>
      <c r="M40" s="136" t="s">
        <v>14</v>
      </c>
      <c r="N40" s="137"/>
      <c r="O40" s="137"/>
      <c r="P40" s="138"/>
      <c r="Q40" s="139" t="s">
        <v>17</v>
      </c>
      <c r="R40" s="140"/>
      <c r="S40" s="139" t="s">
        <v>20</v>
      </c>
      <c r="T40" s="141"/>
      <c r="U40" s="141"/>
      <c r="V40" s="140"/>
      <c r="W40" s="99"/>
      <c r="X40" s="156"/>
      <c r="Y40" s="156"/>
    </row>
    <row r="41" spans="2:25" s="9" customFormat="1" ht="55.5" customHeight="1" x14ac:dyDescent="0.2">
      <c r="B41" s="156"/>
      <c r="C41" s="156"/>
      <c r="D41" s="16" t="s">
        <v>7</v>
      </c>
      <c r="E41" s="16" t="s">
        <v>8</v>
      </c>
      <c r="F41" s="161"/>
      <c r="G41" s="164"/>
      <c r="H41" s="165"/>
      <c r="I41" s="100"/>
      <c r="J41" s="134"/>
      <c r="K41" s="134"/>
      <c r="L41" s="100"/>
      <c r="M41" s="16" t="s">
        <v>15</v>
      </c>
      <c r="N41" s="17" t="s">
        <v>9</v>
      </c>
      <c r="O41" s="17" t="s">
        <v>16</v>
      </c>
      <c r="P41" s="17" t="s">
        <v>5</v>
      </c>
      <c r="Q41" s="17" t="s">
        <v>18</v>
      </c>
      <c r="R41" s="18" t="s">
        <v>19</v>
      </c>
      <c r="S41" s="17" t="s">
        <v>21</v>
      </c>
      <c r="T41" s="17" t="s">
        <v>22</v>
      </c>
      <c r="U41" s="17" t="s">
        <v>23</v>
      </c>
      <c r="V41" s="17" t="s">
        <v>28</v>
      </c>
      <c r="W41" s="100"/>
      <c r="X41" s="156"/>
      <c r="Y41" s="156"/>
    </row>
    <row r="42" spans="2:25" s="24" customFormat="1" hidden="1" x14ac:dyDescent="0.2">
      <c r="B42" s="19">
        <v>1</v>
      </c>
      <c r="C42" s="20">
        <v>2</v>
      </c>
      <c r="D42" s="19">
        <v>3</v>
      </c>
      <c r="E42" s="19">
        <v>4</v>
      </c>
      <c r="F42" s="19">
        <v>5</v>
      </c>
      <c r="G42" s="157">
        <v>6</v>
      </c>
      <c r="H42" s="157"/>
      <c r="I42" s="19">
        <v>9</v>
      </c>
      <c r="J42" s="19">
        <v>10</v>
      </c>
      <c r="K42" s="19">
        <v>11</v>
      </c>
      <c r="L42" s="19"/>
      <c r="M42" s="19">
        <v>14</v>
      </c>
      <c r="N42" s="21">
        <v>15</v>
      </c>
      <c r="O42" s="19">
        <v>16</v>
      </c>
      <c r="P42" s="19">
        <v>17</v>
      </c>
      <c r="Q42" s="19">
        <v>18</v>
      </c>
      <c r="R42" s="19">
        <v>19</v>
      </c>
      <c r="S42" s="22">
        <v>20</v>
      </c>
      <c r="T42" s="22">
        <v>21</v>
      </c>
      <c r="U42" s="22">
        <v>22</v>
      </c>
      <c r="V42" s="22">
        <v>23</v>
      </c>
      <c r="W42" s="19">
        <v>24</v>
      </c>
      <c r="X42" s="19">
        <v>27</v>
      </c>
      <c r="Y42" s="23">
        <v>30</v>
      </c>
    </row>
    <row r="43" spans="2:25" x14ac:dyDescent="0.2">
      <c r="B43" s="25" t="s">
        <v>24</v>
      </c>
      <c r="C43" s="26">
        <f>F7</f>
        <v>44197</v>
      </c>
      <c r="D43" s="27" t="s">
        <v>24</v>
      </c>
      <c r="E43" s="27" t="s">
        <v>24</v>
      </c>
      <c r="F43" s="28" t="s">
        <v>24</v>
      </c>
      <c r="G43" s="146">
        <f>-('Умови та класичний графік'!J13-L43)</f>
        <v>-9949700</v>
      </c>
      <c r="H43" s="147"/>
      <c r="I43" s="29" t="s">
        <v>24</v>
      </c>
      <c r="J43" s="28" t="s">
        <v>24</v>
      </c>
      <c r="K43" s="28" t="s">
        <v>24</v>
      </c>
      <c r="L43" s="30">
        <f>SUM(M43:V43)</f>
        <v>50300</v>
      </c>
      <c r="M43" s="31">
        <v>0</v>
      </c>
      <c r="N43" s="31">
        <v>150</v>
      </c>
      <c r="O43" s="32">
        <f>J16</f>
        <v>50000</v>
      </c>
      <c r="P43" s="31">
        <f>SUM(P44:P283)</f>
        <v>0</v>
      </c>
      <c r="Q43" s="31">
        <f>SUM(Q44:Q283)</f>
        <v>0</v>
      </c>
      <c r="R43" s="31">
        <f>SUM(R44:R283)</f>
        <v>0</v>
      </c>
      <c r="S43" s="33">
        <f>J18</f>
        <v>0</v>
      </c>
      <c r="T43" s="33">
        <f>SUM(T44:T283)</f>
        <v>0</v>
      </c>
      <c r="U43" s="33">
        <f>J20+J21</f>
        <v>0</v>
      </c>
      <c r="V43" s="33">
        <f>150</f>
        <v>150</v>
      </c>
      <c r="W43" s="34"/>
      <c r="X43" s="32"/>
      <c r="Y43" s="35"/>
    </row>
    <row r="44" spans="2:25" x14ac:dyDescent="0.2">
      <c r="B44" s="25">
        <v>1</v>
      </c>
      <c r="C44" s="36">
        <v>44228</v>
      </c>
      <c r="D44" s="36">
        <f>C43</f>
        <v>44197</v>
      </c>
      <c r="E44" s="26">
        <f>C44-1</f>
        <v>44227</v>
      </c>
      <c r="F44" s="37">
        <f>E44-D44+1</f>
        <v>31</v>
      </c>
      <c r="G44" s="148">
        <f>J44+K44+L44</f>
        <v>110410.95890410959</v>
      </c>
      <c r="H44" s="148"/>
      <c r="I44" s="32">
        <f>'Умови та класичний графік'!J13-J44</f>
        <v>10000000</v>
      </c>
      <c r="J44" s="32"/>
      <c r="K44" s="32">
        <f>(('Умови та класичний графік'!J13*'Умови та класичний графік'!$J$22)/365)*F44</f>
        <v>110410.95890410959</v>
      </c>
      <c r="L44" s="30">
        <f t="shared" ref="L44:L45" si="0">SUM(M44:V44)</f>
        <v>0</v>
      </c>
      <c r="M44" s="38"/>
      <c r="N44" s="39"/>
      <c r="O44" s="40"/>
      <c r="P44" s="32"/>
      <c r="Q44" s="40"/>
      <c r="R44" s="40"/>
      <c r="S44" s="41"/>
      <c r="T44" s="41"/>
      <c r="U44" s="41"/>
      <c r="V44" s="41"/>
      <c r="W44" s="43" t="str">
        <f>IF(B43&lt;'Умови та класичний графік'!$J$14,XIRR($G$43:G44,$C$43:C44,0),"")</f>
        <v/>
      </c>
      <c r="X44" s="42"/>
      <c r="Y44" s="35"/>
    </row>
    <row r="45" spans="2:25" x14ac:dyDescent="0.2">
      <c r="B45" s="25">
        <v>2</v>
      </c>
      <c r="C45" s="36">
        <v>44256</v>
      </c>
      <c r="D45" s="36">
        <f t="shared" ref="D45" si="1">C44</f>
        <v>44228</v>
      </c>
      <c r="E45" s="26">
        <f t="shared" ref="E45" si="2">C45-1</f>
        <v>44255</v>
      </c>
      <c r="F45" s="37">
        <f t="shared" ref="F45" si="3">E45-D45+1</f>
        <v>28</v>
      </c>
      <c r="G45" s="96">
        <f>J45+K45+L45</f>
        <v>99726.027397260274</v>
      </c>
      <c r="H45" s="97"/>
      <c r="I45" s="32">
        <f>I44-J45</f>
        <v>10000000</v>
      </c>
      <c r="J45" s="32"/>
      <c r="K45" s="32">
        <f>((I44*'Умови та класичний графік'!$J$22)/365)*F45</f>
        <v>99726.027397260274</v>
      </c>
      <c r="L45" s="30">
        <f t="shared" si="0"/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 t="e">
        <f>IF(B44&lt;'Умови та класичний графік'!$J$14,XIRR($G$43:G45,$C$43:C45,0),"")</f>
        <v>#NUM!</v>
      </c>
      <c r="X45" s="42"/>
      <c r="Y45" s="35"/>
    </row>
    <row r="46" spans="2:25" s="46" customFormat="1" x14ac:dyDescent="0.2">
      <c r="B46" s="25">
        <v>3</v>
      </c>
      <c r="C46" s="36">
        <f>IF(B45&lt;'Умови та класичний графік'!$J$14,EDATE(C45,1),"")</f>
        <v>44287</v>
      </c>
      <c r="D46" s="36">
        <f>IF(B45&lt;'Умови та класичний графік'!$J$14,C45,"")</f>
        <v>44256</v>
      </c>
      <c r="E46" s="26">
        <f>IF(B45&lt;'Умови та класичний графік'!$J$14,C46-1,"")</f>
        <v>44286</v>
      </c>
      <c r="F46" s="37">
        <f>IF(B45&lt;'Умови та класичний графік'!$J$14,E46-D46+1,"")</f>
        <v>31</v>
      </c>
      <c r="G46" s="96">
        <f>IF(B45&lt;'Умови та класичний графік'!$J$14,J46+K46+L46,"")</f>
        <v>110410.95890410959</v>
      </c>
      <c r="H46" s="97"/>
      <c r="I46" s="32">
        <f>IF(B45&lt;'Умови та класичний графік'!$J$14,I45-J46,"")</f>
        <v>10000000</v>
      </c>
      <c r="J46" s="32"/>
      <c r="K46" s="32">
        <f>IF(B45&lt;'Умови та класичний графік'!$J$14,((I45*'Умови та класичний графік'!$J$22)/365)*F46,"")</f>
        <v>110410.95890410959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графік'!$J$14,XIRR($G$43:G46,$C$43:C46,0),"")</f>
        <v>-0.99999996895028209</v>
      </c>
      <c r="X46" s="44"/>
      <c r="Y46" s="45"/>
    </row>
    <row r="47" spans="2:25" x14ac:dyDescent="0.2">
      <c r="B47" s="25">
        <v>4</v>
      </c>
      <c r="C47" s="36">
        <f>IF(B46&lt;'Умови та класичний графік'!$J$14,EDATE(C46,1),"")</f>
        <v>44317</v>
      </c>
      <c r="D47" s="36">
        <f>IF(B46&lt;'Умови та класичний графік'!$J$14,C46,"")</f>
        <v>44287</v>
      </c>
      <c r="E47" s="26">
        <f>IF(B46&lt;'Умови та класичний графік'!$J$14,C47-1,"")</f>
        <v>44316</v>
      </c>
      <c r="F47" s="37">
        <f>IF(B46&lt;'Умови та класичний графік'!$J$14,E47-D47+1,"")</f>
        <v>30</v>
      </c>
      <c r="G47" s="96">
        <f>IF(B46&lt;'Умови та класичний графік'!$J$14,J47+K47+L47,"")</f>
        <v>106849.31506849316</v>
      </c>
      <c r="H47" s="97"/>
      <c r="I47" s="32">
        <f>IF(B46&lt;'Умови та класичний графік'!$J$14,I46-J47,"")</f>
        <v>10000000</v>
      </c>
      <c r="J47" s="32"/>
      <c r="K47" s="32">
        <f>IF(B46&lt;'Умови та класичний графік'!$J$14,((I46*'Умови та класичний графік'!$J$22)/365)*F47,"")</f>
        <v>106849.31506849316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графік'!$J$14,XIRR($G$43:G47,$C$43:C47,0),"")</f>
        <v>-0.99999622278349443</v>
      </c>
      <c r="X47" s="42"/>
      <c r="Y47" s="35"/>
    </row>
    <row r="48" spans="2:25" x14ac:dyDescent="0.2">
      <c r="B48" s="25">
        <v>5</v>
      </c>
      <c r="C48" s="36">
        <f>IF(B47&lt;'Умови та класичний графік'!$J$14,EDATE(C47,1),"")</f>
        <v>44348</v>
      </c>
      <c r="D48" s="36">
        <f>IF(B47&lt;'Умови та класичний графік'!$J$14,C47,"")</f>
        <v>44317</v>
      </c>
      <c r="E48" s="26">
        <f>IF(B47&lt;'Умови та класичний графік'!$J$14,C48-1,"")</f>
        <v>44347</v>
      </c>
      <c r="F48" s="37">
        <f>IF(B47&lt;'Умови та класичний графік'!$J$14,E48-D48+1,"")</f>
        <v>31</v>
      </c>
      <c r="G48" s="96">
        <f>IF(B47&lt;'Умови та класичний графік'!$J$14,J48+K48+L48,"")</f>
        <v>110410.95890410959</v>
      </c>
      <c r="H48" s="97"/>
      <c r="I48" s="32">
        <f>IF(B47&lt;'Умови та класичний графік'!$J$14,I47-J48,"")</f>
        <v>10000000</v>
      </c>
      <c r="J48" s="32"/>
      <c r="K48" s="32">
        <f>IF(B47&lt;'Умови та класичний графік'!$J$14,((I47*'Умови та класичний графік'!$J$22)/365)*F48,"")</f>
        <v>110410.95890410959</v>
      </c>
      <c r="L48" s="30">
        <f>IF(B47&lt;'Умови та класичний графік'!$J$14,SUM(M48:V48),"")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графік'!$J$14,XIRR($G$43:G48,$C$43:C48,0),"")</f>
        <v>-0.99992601584151319</v>
      </c>
      <c r="X48" s="42"/>
      <c r="Y48" s="35"/>
    </row>
    <row r="49" spans="2:25" x14ac:dyDescent="0.2">
      <c r="B49" s="25">
        <v>6</v>
      </c>
      <c r="C49" s="36">
        <f>IF(B48&lt;'Умови та класичний графік'!$J$14,EDATE(C48,1),"")</f>
        <v>44378</v>
      </c>
      <c r="D49" s="36">
        <f>IF(B48&lt;'Умови та класичний графік'!$J$14,C48,"")</f>
        <v>44348</v>
      </c>
      <c r="E49" s="26">
        <f>IF(B48&lt;'Умови та класичний графік'!$J$14,C49-1,"")</f>
        <v>44377</v>
      </c>
      <c r="F49" s="37">
        <f>IF(B48&lt;'Умови та класичний графік'!$J$14,E49-D49+1,"")</f>
        <v>30</v>
      </c>
      <c r="G49" s="96">
        <f>IF(B48&lt;'Умови та класичний графік'!$J$14,J49+K49+L49,"")</f>
        <v>106849.31506849316</v>
      </c>
      <c r="H49" s="97"/>
      <c r="I49" s="32">
        <f>IF(B48&lt;'Умови та класичний графік'!$J$14,I48-J49,"")</f>
        <v>10000000</v>
      </c>
      <c r="J49" s="32"/>
      <c r="K49" s="32">
        <f>IF(B48&lt;'Умови та класичний графік'!$J$14,((I48*'Умови та класичний графік'!$J$22)/365)*F49,"")</f>
        <v>106849.31506849316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графік'!$J$14,XIRR($G$43:G49,$C$43:C49,0),"")</f>
        <v>-0.99952217512126706</v>
      </c>
      <c r="X49" s="42"/>
      <c r="Y49" s="35"/>
    </row>
    <row r="50" spans="2:25" x14ac:dyDescent="0.2">
      <c r="B50" s="25">
        <v>7</v>
      </c>
      <c r="C50" s="36">
        <f>IF(B49&lt;'Умови та класичний графік'!$J$14,EDATE(C49,1),"")</f>
        <v>44409</v>
      </c>
      <c r="D50" s="36">
        <f>IF(B49&lt;'Умови та класичний графік'!$J$14,C49,"")</f>
        <v>44378</v>
      </c>
      <c r="E50" s="26">
        <f>IF(B49&lt;'Умови та класичний графік'!$J$14,C50-1,"")</f>
        <v>44408</v>
      </c>
      <c r="F50" s="37">
        <f>IF(B49&lt;'Умови та класичний графік'!$J$14,E50-D50+1,"")</f>
        <v>31</v>
      </c>
      <c r="G50" s="96">
        <f>IF(B49&lt;'Умови та класичний графік'!$J$14,J50+K50+L50,"")</f>
        <v>110410.95890410959</v>
      </c>
      <c r="H50" s="97"/>
      <c r="I50" s="32">
        <f>IF(B49&lt;'Умови та класичний графік'!$J$14,I49-J50,"")</f>
        <v>10000000</v>
      </c>
      <c r="J50" s="32"/>
      <c r="K50" s="32">
        <f>IF(B49&lt;'Умови та класичний графік'!$J$14,((I49*'Умови та класичний графік'!$J$22)/365)*F50,"")</f>
        <v>110410.95890410959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графік'!$J$14,XIRR($G$43:G50,$C$43:C50,0),"")</f>
        <v>-0.99812563986144021</v>
      </c>
      <c r="X50" s="42"/>
      <c r="Y50" s="35"/>
    </row>
    <row r="51" spans="2:25" x14ac:dyDescent="0.2">
      <c r="B51" s="25">
        <v>8</v>
      </c>
      <c r="C51" s="36">
        <f>IF(B50&lt;'Умови та класичний графік'!$J$14,EDATE(C50,1),"")</f>
        <v>44440</v>
      </c>
      <c r="D51" s="36">
        <f>IF(B50&lt;'Умови та класичний графік'!$J$14,C50,"")</f>
        <v>44409</v>
      </c>
      <c r="E51" s="26">
        <f>IF(B50&lt;'Умови та класичний графік'!$J$14,C51-1,"")</f>
        <v>44439</v>
      </c>
      <c r="F51" s="37">
        <f>IF(B50&lt;'Умови та класичний графік'!$J$14,E51-D51+1,"")</f>
        <v>31</v>
      </c>
      <c r="G51" s="96">
        <f>IF(B50&lt;'Умови та класичний графік'!$J$14,J51+K51+L51,"")</f>
        <v>110410.95890410959</v>
      </c>
      <c r="H51" s="97"/>
      <c r="I51" s="32">
        <f>IF(B50&lt;'Умови та класичний графік'!$J$14,I50-J51,"")</f>
        <v>10000000</v>
      </c>
      <c r="J51" s="32"/>
      <c r="K51" s="32">
        <f>IF(B50&lt;'Умови та класичний графік'!$J$14,((I50*'Умови та класичний графік'!$J$22)/365)*F51,"")</f>
        <v>110410.95890410959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графік'!$J$14,XIRR($G$43:G51,$C$43:C51,0),"")</f>
        <v>-0.99490893368185973</v>
      </c>
      <c r="X51" s="42"/>
      <c r="Y51" s="35"/>
    </row>
    <row r="52" spans="2:25" x14ac:dyDescent="0.2">
      <c r="B52" s="25">
        <v>9</v>
      </c>
      <c r="C52" s="36">
        <f>IF(B51&lt;'Умови та класичний графік'!$J$14,EDATE(C51,1),"")</f>
        <v>44470</v>
      </c>
      <c r="D52" s="36">
        <f>IF(B51&lt;'Умови та класичний графік'!$J$14,C51,"")</f>
        <v>44440</v>
      </c>
      <c r="E52" s="26">
        <f>IF(B51&lt;'Умови та класичний графік'!$J$14,C52-1,"")</f>
        <v>44469</v>
      </c>
      <c r="F52" s="37">
        <f>IF(B51&lt;'Умови та класичний графік'!$J$14,E52-D52+1,"")</f>
        <v>30</v>
      </c>
      <c r="G52" s="96">
        <f>IF(B51&lt;'Умови та класичний графік'!$J$14,J52+K52+L52,"")</f>
        <v>106849.31506849316</v>
      </c>
      <c r="H52" s="97"/>
      <c r="I52" s="32">
        <f>IF(B51&lt;'Умови та класичний графік'!$J$14,I51-J52,"")</f>
        <v>10000000</v>
      </c>
      <c r="J52" s="32"/>
      <c r="K52" s="32">
        <f>IF(B51&lt;'Умови та класичний графік'!$J$14,((I51*'Умови та класичний графік'!$J$22)/365)*F52,"")</f>
        <v>106849.31506849316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графік'!$J$14,XIRR($G$43:G52,$C$43:C52,0),"")</f>
        <v>-0.98938120251485118</v>
      </c>
      <c r="X52" s="42"/>
      <c r="Y52" s="35"/>
    </row>
    <row r="53" spans="2:25" x14ac:dyDescent="0.2">
      <c r="B53" s="25">
        <v>10</v>
      </c>
      <c r="C53" s="36">
        <f>IF(B52&lt;'Умови та класичний графік'!$J$14,EDATE(C52,1),"")</f>
        <v>44501</v>
      </c>
      <c r="D53" s="36">
        <f>IF(B52&lt;'Умови та класичний графік'!$J$14,C52,"")</f>
        <v>44470</v>
      </c>
      <c r="E53" s="26">
        <f>IF(B52&lt;'Умови та класичний графік'!$J$14,C53-1,"")</f>
        <v>44500</v>
      </c>
      <c r="F53" s="37">
        <f>IF(B52&lt;'Умови та класичний графік'!$J$14,E53-D53+1,"")</f>
        <v>31</v>
      </c>
      <c r="G53" s="96">
        <f>IF(B52&lt;'Умови та класичний графік'!$J$14,J53+K53+L53,"")</f>
        <v>110410.95890410959</v>
      </c>
      <c r="H53" s="97"/>
      <c r="I53" s="32">
        <f>IF(B52&lt;'Умови та класичний графік'!$J$14,I52-J53,"")</f>
        <v>10000000</v>
      </c>
      <c r="J53" s="32"/>
      <c r="K53" s="32">
        <f>IF(B52&lt;'Умови та класичний графік'!$J$14,((I52*'Умови та класичний графік'!$J$22)/365)*F53,"")</f>
        <v>110410.95890410959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графік'!$J$14,XIRR($G$43:G53,$C$43:C53,0),"")</f>
        <v>-0.98062316333808008</v>
      </c>
      <c r="X53" s="42"/>
      <c r="Y53" s="35"/>
    </row>
    <row r="54" spans="2:25" x14ac:dyDescent="0.2">
      <c r="B54" s="25">
        <v>11</v>
      </c>
      <c r="C54" s="36">
        <f>IF(B53&lt;'Умови та класичний графік'!$J$14,EDATE(C53,1),"")</f>
        <v>44531</v>
      </c>
      <c r="D54" s="36">
        <f>IF(B53&lt;'Умови та класичний графік'!$J$14,C53,"")</f>
        <v>44501</v>
      </c>
      <c r="E54" s="26">
        <f>IF(B53&lt;'Умови та класичний графік'!$J$14,C54-1,"")</f>
        <v>44530</v>
      </c>
      <c r="F54" s="37">
        <f>IF(B53&lt;'Умови та класичний графік'!$J$14,E54-D54+1,"")</f>
        <v>30</v>
      </c>
      <c r="G54" s="96">
        <f>IF(B53&lt;'Умови та класичний графік'!$J$14,J54+K54+L54,"")</f>
        <v>106849.31506849316</v>
      </c>
      <c r="H54" s="97"/>
      <c r="I54" s="32">
        <f>IF(B53&lt;'Умови та класичний графік'!$J$14,I53-J54,"")</f>
        <v>10000000</v>
      </c>
      <c r="J54" s="32"/>
      <c r="K54" s="32">
        <f>IF(B53&lt;'Умови та класичний графік'!$J$14,((I53*'Умови та класичний графік'!$J$22)/365)*F54,"")</f>
        <v>106849.31506849316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графік'!$J$14,XIRR($G$43:G54,$C$43:C54,0),"")</f>
        <v>-0.96912329601068037</v>
      </c>
      <c r="X54" s="42"/>
      <c r="Y54" s="35"/>
    </row>
    <row r="55" spans="2:25" x14ac:dyDescent="0.2">
      <c r="B55" s="25">
        <v>12</v>
      </c>
      <c r="C55" s="36">
        <f>IF(B54&lt;'Умови та класичний графік'!$J$14,EDATE(C54,1),"")</f>
        <v>44562</v>
      </c>
      <c r="D55" s="36">
        <f>IF(B54&lt;'Умови та класичний графік'!$J$14,C54,"")</f>
        <v>44531</v>
      </c>
      <c r="E55" s="26">
        <f>IF(B54&lt;'Умови та класичний графік'!$J$14,C55-1,"")</f>
        <v>44561</v>
      </c>
      <c r="F55" s="37">
        <f>IF(B54&lt;'Умови та класичний графік'!$J$14,E55-D55+1,"")</f>
        <v>31</v>
      </c>
      <c r="G55" s="96">
        <f>IF(B54&lt;'Умови та класичний графік'!$J$14,J55+K55+L55,"")</f>
        <v>110410.95890410959</v>
      </c>
      <c r="H55" s="97"/>
      <c r="I55" s="32">
        <f>IF(B54&lt;'Умови та класичний графік'!$J$14,I54-J55,"")</f>
        <v>10000000</v>
      </c>
      <c r="J55" s="32"/>
      <c r="K55" s="32">
        <f>IF(B54&lt;'Умови та класичний графік'!$J$14,((I54*'Умови та класичний графік'!$J$22)/365)*F55,"")</f>
        <v>110410.95890410959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>
        <f>IF(B54&lt;'Умови та класичний графік'!$J$14,XIRR($G$43:G55,$C$43:C55,0),"")</f>
        <v>-0.95409461661263362</v>
      </c>
      <c r="X55" s="42"/>
      <c r="Y55" s="35"/>
    </row>
    <row r="56" spans="2:25" x14ac:dyDescent="0.2">
      <c r="B56" s="25">
        <v>13</v>
      </c>
      <c r="C56" s="36">
        <f>IF(B55&lt;'Умови та класичний графік'!$J$14,EDATE(C55,1),"")</f>
        <v>44593</v>
      </c>
      <c r="D56" s="36">
        <f>IF(B55&lt;'Умови та класичний графік'!$J$14,C55,"")</f>
        <v>44562</v>
      </c>
      <c r="E56" s="26">
        <f>IF(B55&lt;'Умови та класичний графік'!$J$14,C56-1,"")</f>
        <v>44592</v>
      </c>
      <c r="F56" s="37">
        <f>IF(B55&lt;'Умови та класичний графік'!$J$14,E56-D56+1,"")</f>
        <v>31</v>
      </c>
      <c r="G56" s="96">
        <f>IF(B55&lt;'Умови та класичний графік'!$J$14,J56+K56+L56,"")</f>
        <v>110410.95890410959</v>
      </c>
      <c r="H56" s="97"/>
      <c r="I56" s="32">
        <f>IF(B55&lt;'Умови та класичний графік'!$J$14,I55-J56,"")</f>
        <v>10000000</v>
      </c>
      <c r="J56" s="32"/>
      <c r="K56" s="32">
        <f>IF(B55&lt;'Умови та класичний графік'!$J$14,((I55*'Умови та класичний графік'!$J$22)/365)*F56,"")</f>
        <v>110410.95890410959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графік'!$J$14,XIRR($G$43:G56,$C$43:C56,0),"")</f>
        <v>-0.93621665693379919</v>
      </c>
      <c r="X56" s="42"/>
      <c r="Y56" s="35"/>
    </row>
    <row r="57" spans="2:25" x14ac:dyDescent="0.2">
      <c r="B57" s="25">
        <v>14</v>
      </c>
      <c r="C57" s="36">
        <f>IF(B56&lt;'Умови та класичний графік'!$J$14,EDATE(C56,1),"")</f>
        <v>44621</v>
      </c>
      <c r="D57" s="36">
        <f>IF(B56&lt;'Умови та класичний графік'!$J$14,C56,"")</f>
        <v>44593</v>
      </c>
      <c r="E57" s="26">
        <f>IF(B56&lt;'Умови та класичний графік'!$J$14,C57-1,"")</f>
        <v>44620</v>
      </c>
      <c r="F57" s="37">
        <f>IF(B56&lt;'Умови та класичний графік'!$J$14,E57-D57+1,"")</f>
        <v>28</v>
      </c>
      <c r="G57" s="96">
        <f>IF(B56&lt;'Умови та класичний графік'!$J$14,J57+K57+L57,"")</f>
        <v>99726.027397260274</v>
      </c>
      <c r="H57" s="97"/>
      <c r="I57" s="32">
        <f>IF(B56&lt;'Умови та класичний графік'!$J$14,I56-J57,"")</f>
        <v>10000000</v>
      </c>
      <c r="J57" s="32"/>
      <c r="K57" s="32">
        <f>IF(B56&lt;'Умови та класичний графік'!$J$14,((I56*'Умови та класичний графік'!$J$22)/365)*F57,"")</f>
        <v>99726.027397260274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графік'!$J$14,XIRR($G$43:G57,$C$43:C57,0),"")</f>
        <v>-0.91812174317415796</v>
      </c>
      <c r="X57" s="42"/>
      <c r="Y57" s="35"/>
    </row>
    <row r="58" spans="2:25" x14ac:dyDescent="0.2">
      <c r="B58" s="25">
        <v>15</v>
      </c>
      <c r="C58" s="36">
        <f>IF(B57&lt;'Умови та класичний графік'!$J$14,EDATE(C57,1),"")</f>
        <v>44652</v>
      </c>
      <c r="D58" s="36">
        <f>IF(B57&lt;'Умови та класичний графік'!$J$14,C57,"")</f>
        <v>44621</v>
      </c>
      <c r="E58" s="26">
        <f>IF(B57&lt;'Умови та класичний графік'!$J$14,C58-1,"")</f>
        <v>44651</v>
      </c>
      <c r="F58" s="37">
        <f>IF(B57&lt;'Умови та класичний графік'!$J$14,E58-D58+1,"")</f>
        <v>31</v>
      </c>
      <c r="G58" s="96">
        <f>IF(B57&lt;'Умови та класичний графік'!$J$14,J58+K58+L58,"")</f>
        <v>110410.95890410959</v>
      </c>
      <c r="H58" s="97"/>
      <c r="I58" s="32">
        <f>IF(B57&lt;'Умови та класичний графік'!$J$14,I57-J58,"")</f>
        <v>10000000</v>
      </c>
      <c r="J58" s="32"/>
      <c r="K58" s="32">
        <f>IF(B57&lt;'Умови та класичний графік'!$J$14,((I57*'Умови та класичний графік'!$J$22)/365)*F58,"")</f>
        <v>110410.95890410959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графік'!$J$14,XIRR($G$43:G58,$C$43:C58,0),"")</f>
        <v>-0.8959267432701401</v>
      </c>
      <c r="X58" s="42"/>
      <c r="Y58" s="35"/>
    </row>
    <row r="59" spans="2:25" x14ac:dyDescent="0.2">
      <c r="B59" s="25">
        <v>16</v>
      </c>
      <c r="C59" s="36">
        <f>IF(B58&lt;'Умови та класичний графік'!$J$14,EDATE(C58,1),"")</f>
        <v>44682</v>
      </c>
      <c r="D59" s="36">
        <f>IF(B58&lt;'Умови та класичний графік'!$J$14,C58,"")</f>
        <v>44652</v>
      </c>
      <c r="E59" s="26">
        <f>IF(B58&lt;'Умови та класичний графік'!$J$14,C59-1,"")</f>
        <v>44681</v>
      </c>
      <c r="F59" s="37">
        <f>IF(B58&lt;'Умови та класичний графік'!$J$14,E59-D59+1,"")</f>
        <v>30</v>
      </c>
      <c r="G59" s="96">
        <f>IF(B58&lt;'Умови та класичний графік'!$J$14,J59+K59+L59,"")</f>
        <v>106849.31506849316</v>
      </c>
      <c r="H59" s="97"/>
      <c r="I59" s="32">
        <f>IF(B58&lt;'Умови та класичний графік'!$J$14,I58-J59,"")</f>
        <v>10000000</v>
      </c>
      <c r="J59" s="32"/>
      <c r="K59" s="32">
        <f>IF(B58&lt;'Умови та класичний графік'!$J$14,((I58*'Умови та класичний графік'!$J$22)/365)*F59,"")</f>
        <v>106849.31506849316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графік'!$J$14,XIRR($G$43:G59,$C$43:C59,0),"")</f>
        <v>-0.87297794213760649</v>
      </c>
      <c r="X59" s="42"/>
      <c r="Y59" s="35"/>
    </row>
    <row r="60" spans="2:25" x14ac:dyDescent="0.2">
      <c r="B60" s="25">
        <v>17</v>
      </c>
      <c r="C60" s="36">
        <f>IF(B59&lt;'Умови та класичний графік'!$J$14,EDATE(C59,1),"")</f>
        <v>44713</v>
      </c>
      <c r="D60" s="36">
        <f>IF(B59&lt;'Умови та класичний графік'!$J$14,C59,"")</f>
        <v>44682</v>
      </c>
      <c r="E60" s="26">
        <f>IF(B59&lt;'Умови та класичний графік'!$J$14,C60-1,"")</f>
        <v>44712</v>
      </c>
      <c r="F60" s="37">
        <f>IF(B59&lt;'Умови та класичний графік'!$J$14,E60-D60+1,"")</f>
        <v>31</v>
      </c>
      <c r="G60" s="96">
        <f>IF(B59&lt;'Умови та класичний графік'!$J$14,J60+K60+L60,"")</f>
        <v>110410.95890410959</v>
      </c>
      <c r="H60" s="97"/>
      <c r="I60" s="32">
        <f>IF(B59&lt;'Умови та класичний графік'!$J$14,I59-J60,"")</f>
        <v>10000000</v>
      </c>
      <c r="J60" s="32"/>
      <c r="K60" s="32">
        <f>IF(B59&lt;'Умови та класичний графік'!$J$14,((I59*'Умови та класичний графік'!$J$22)/365)*F60,"")</f>
        <v>110410.95890410959</v>
      </c>
      <c r="L60" s="30">
        <f>IF(B59&lt;'Умови та класичний графік'!$J$14,SUM(M60:V60),"")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графік'!$J$14,XIRR($G$43:G60,$C$43:C60,0),"")</f>
        <v>-0.84801577770568437</v>
      </c>
      <c r="X60" s="42"/>
      <c r="Y60" s="35"/>
    </row>
    <row r="61" spans="2:25" x14ac:dyDescent="0.2">
      <c r="B61" s="25">
        <v>18</v>
      </c>
      <c r="C61" s="36">
        <f>IF(B60&lt;'Умови та класичний графік'!$J$14,EDATE(C60,1),"")</f>
        <v>44743</v>
      </c>
      <c r="D61" s="36">
        <f>IF(B60&lt;'Умови та класичний графік'!$J$14,C60,"")</f>
        <v>44713</v>
      </c>
      <c r="E61" s="26">
        <f>IF(B60&lt;'Умови та класичний графік'!$J$14,C61-1,"")</f>
        <v>44742</v>
      </c>
      <c r="F61" s="37">
        <f>IF(B60&lt;'Умови та класичний графік'!$J$14,E61-D61+1,"")</f>
        <v>30</v>
      </c>
      <c r="G61" s="96">
        <f>IF(B60&lt;'Умови та класичний графік'!$J$14,J61+K61+L61,"")</f>
        <v>106849.31506849316</v>
      </c>
      <c r="H61" s="97"/>
      <c r="I61" s="32">
        <f>IF(B60&lt;'Умови та класичний графік'!$J$14,I60-J61,"")</f>
        <v>10000000</v>
      </c>
      <c r="J61" s="32"/>
      <c r="K61" s="32">
        <f>IF(B60&lt;'Умови та класичний графік'!$J$14,((I60*'Умови та класичний графік'!$J$22)/365)*F61,"")</f>
        <v>106849.31506849316</v>
      </c>
      <c r="L61" s="30">
        <f>IF(B60&lt;'Умови та класичний графік'!$J$14,SUM(M61:V61),"")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графік'!$J$14,XIRR($G$43:G61,$C$43:C61,0),"")</f>
        <v>-0.82312644197080287</v>
      </c>
      <c r="X61" s="42"/>
      <c r="Y61" s="35"/>
    </row>
    <row r="62" spans="2:25" x14ac:dyDescent="0.2">
      <c r="B62" s="25">
        <v>19</v>
      </c>
      <c r="C62" s="36">
        <f>IF(B61&lt;'Умови та класичний графік'!$J$14,EDATE(C61,1),"")</f>
        <v>44774</v>
      </c>
      <c r="D62" s="36">
        <f>IF(B61&lt;'Умови та класичний графік'!$J$14,C61,"")</f>
        <v>44743</v>
      </c>
      <c r="E62" s="26">
        <f>IF(B61&lt;'Умови та класичний графік'!$J$14,C62-1,"")</f>
        <v>44773</v>
      </c>
      <c r="F62" s="37">
        <f>IF(B61&lt;'Умови та класичний графік'!$J$14,E62-D62+1,"")</f>
        <v>31</v>
      </c>
      <c r="G62" s="96">
        <f>IF(B61&lt;'Умови та класичний графік'!$J$14,J62+K62+L62,"")</f>
        <v>110410.95890410959</v>
      </c>
      <c r="H62" s="97"/>
      <c r="I62" s="32">
        <f>IF(B61&lt;'Умови та класичний графік'!$J$14,I61-J62,"")</f>
        <v>10000000</v>
      </c>
      <c r="J62" s="32"/>
      <c r="K62" s="32">
        <f>IF(B61&lt;'Умови та класичний графік'!$J$14,((I61*'Умови та класичний графік'!$J$22)/365)*F62,"")</f>
        <v>110410.95890410959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графік'!$J$14,XIRR($G$43:G62,$C$43:C62,0),"")</f>
        <v>-0.79684551188398145</v>
      </c>
      <c r="X62" s="42"/>
      <c r="Y62" s="35"/>
    </row>
    <row r="63" spans="2:25" x14ac:dyDescent="0.2">
      <c r="B63" s="25">
        <v>20</v>
      </c>
      <c r="C63" s="36">
        <f>IF(B62&lt;'Умови та класичний графік'!$J$14,EDATE(C62,1),"")</f>
        <v>44805</v>
      </c>
      <c r="D63" s="36">
        <f>IF(B62&lt;'Умови та класичний графік'!$J$14,C62,"")</f>
        <v>44774</v>
      </c>
      <c r="E63" s="26">
        <f>IF(B62&lt;'Умови та класичний графік'!$J$14,C63-1,"")</f>
        <v>44804</v>
      </c>
      <c r="F63" s="37">
        <f>IF(B62&lt;'Умови та класичний графік'!$J$14,E63-D63+1,"")</f>
        <v>31</v>
      </c>
      <c r="G63" s="96">
        <f>IF(B62&lt;'Умови та класичний графік'!$J$14,J63+K63+L63,"")</f>
        <v>110410.95890410959</v>
      </c>
      <c r="H63" s="97"/>
      <c r="I63" s="32">
        <f>IF(B62&lt;'Умови та класичний графік'!$J$14,I62-J63,"")</f>
        <v>10000000</v>
      </c>
      <c r="J63" s="32"/>
      <c r="K63" s="32">
        <f>IF(B62&lt;'Умови та класичний графік'!$J$14,((I62*'Умови та класичний графік'!$J$22)/365)*F63,"")</f>
        <v>110410.95890410959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графік'!$J$14,XIRR($G$43:G63,$C$43:C63,0),"")</f>
        <v>-0.77033635416932389</v>
      </c>
      <c r="X63" s="42"/>
      <c r="Y63" s="35"/>
    </row>
    <row r="64" spans="2:25" x14ac:dyDescent="0.2">
      <c r="B64" s="25">
        <v>21</v>
      </c>
      <c r="C64" s="36">
        <f>IF(B63&lt;'Умови та класичний графік'!$J$14,EDATE(C63,1),"")</f>
        <v>44835</v>
      </c>
      <c r="D64" s="36">
        <f>IF(B63&lt;'Умови та класичний графік'!$J$14,C63,"")</f>
        <v>44805</v>
      </c>
      <c r="E64" s="26">
        <f>IF(B63&lt;'Умови та класичний графік'!$J$14,C64-1,"")</f>
        <v>44834</v>
      </c>
      <c r="F64" s="37">
        <f>IF(B63&lt;'Умови та класичний графік'!$J$14,E64-D64+1,"")</f>
        <v>30</v>
      </c>
      <c r="G64" s="96">
        <f>IF(B63&lt;'Умови та класичний графік'!$J$14,J64+K64+L64,"")</f>
        <v>106849.31506849316</v>
      </c>
      <c r="H64" s="97"/>
      <c r="I64" s="32">
        <f>IF(B63&lt;'Умови та класичний графік'!$J$14,I63-J64,"")</f>
        <v>10000000</v>
      </c>
      <c r="J64" s="32"/>
      <c r="K64" s="32">
        <f>IF(B63&lt;'Умови та класичний графік'!$J$14,((I63*'Умови та класичний графік'!$J$22)/365)*F64,"")</f>
        <v>106849.31506849316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графік'!$J$14,XIRR($G$43:G64,$C$43:C64,0),"")</f>
        <v>-0.74472576101653265</v>
      </c>
      <c r="X64" s="42"/>
      <c r="Y64" s="35"/>
    </row>
    <row r="65" spans="2:25" x14ac:dyDescent="0.2">
      <c r="B65" s="25">
        <v>22</v>
      </c>
      <c r="C65" s="36">
        <f>IF(B64&lt;'Умови та класичний графік'!$J$14,EDATE(C64,1),"")</f>
        <v>44866</v>
      </c>
      <c r="D65" s="36">
        <f>IF(B64&lt;'Умови та класичний графік'!$J$14,C64,"")</f>
        <v>44835</v>
      </c>
      <c r="E65" s="26">
        <f>IF(B64&lt;'Умови та класичний графік'!$J$14,C65-1,"")</f>
        <v>44865</v>
      </c>
      <c r="F65" s="37">
        <f>IF(B64&lt;'Умови та класичний графік'!$J$14,E65-D65+1,"")</f>
        <v>31</v>
      </c>
      <c r="G65" s="96">
        <f>IF(B64&lt;'Умови та класичний графік'!$J$14,J65+K65+L65,"")</f>
        <v>110410.95890410959</v>
      </c>
      <c r="H65" s="97"/>
      <c r="I65" s="32">
        <f>IF(B64&lt;'Умови та класичний графік'!$J$14,I64-J65,"")</f>
        <v>10000000</v>
      </c>
      <c r="J65" s="32"/>
      <c r="K65" s="32">
        <f>IF(B64&lt;'Умови та класичний графік'!$J$14,((I64*'Умови та класичний графік'!$J$22)/365)*F65,"")</f>
        <v>110410.95890410959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графік'!$J$14,XIRR($G$43:G65,$C$43:C65,0),"")</f>
        <v>-0.71838946249369529</v>
      </c>
      <c r="X65" s="42"/>
      <c r="Y65" s="35"/>
    </row>
    <row r="66" spans="2:25" x14ac:dyDescent="0.2">
      <c r="B66" s="25">
        <v>23</v>
      </c>
      <c r="C66" s="36">
        <f>IF(B65&lt;'Умови та класичний графік'!$J$14,EDATE(C65,1),"")</f>
        <v>44896</v>
      </c>
      <c r="D66" s="36">
        <f>IF(B65&lt;'Умови та класичний графік'!$J$14,C65,"")</f>
        <v>44866</v>
      </c>
      <c r="E66" s="26">
        <f>IF(B65&lt;'Умови та класичний графік'!$J$14,C66-1,"")</f>
        <v>44895</v>
      </c>
      <c r="F66" s="37">
        <f>IF(B65&lt;'Умови та класичний графік'!$J$14,E66-D66+1,"")</f>
        <v>30</v>
      </c>
      <c r="G66" s="96">
        <f>IF(B65&lt;'Умови та класичний графік'!$J$14,J66+K66+L66,"")</f>
        <v>106849.31506849316</v>
      </c>
      <c r="H66" s="97"/>
      <c r="I66" s="32">
        <f>IF(B65&lt;'Умови та класичний графік'!$J$14,I65-J66,"")</f>
        <v>10000000</v>
      </c>
      <c r="J66" s="32"/>
      <c r="K66" s="32">
        <f>IF(B65&lt;'Умови та класичний графік'!$J$14,((I65*'Умови та класичний графік'!$J$22)/365)*F66,"")</f>
        <v>106849.31506849316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графік'!$J$14,XIRR($G$43:G66,$C$43:C66,0),"")</f>
        <v>-0.69325785865224898</v>
      </c>
      <c r="X66" s="42"/>
      <c r="Y66" s="35"/>
    </row>
    <row r="67" spans="2:25" x14ac:dyDescent="0.2">
      <c r="B67" s="25">
        <v>24</v>
      </c>
      <c r="C67" s="36">
        <f>IF(B66&lt;'Умови та класичний графік'!$J$14,EDATE(C66,1),"")</f>
        <v>44927</v>
      </c>
      <c r="D67" s="36">
        <f>IF(B66&lt;'Умови та класичний графік'!$J$14,C66,"")</f>
        <v>44896</v>
      </c>
      <c r="E67" s="26">
        <f>IF(B66&lt;'Умови та класичний графік'!$J$14,C67-1,"")</f>
        <v>44926</v>
      </c>
      <c r="F67" s="37">
        <f>IF(B66&lt;'Умови та класичний графік'!$J$14,E67-D67+1,"")</f>
        <v>31</v>
      </c>
      <c r="G67" s="96">
        <f>IF(B66&lt;'Умови та класичний графік'!$J$14,J67+K67+L67,"")</f>
        <v>110410.95890410959</v>
      </c>
      <c r="H67" s="97"/>
      <c r="I67" s="32">
        <f>IF(B66&lt;'Умови та класичний графік'!$J$14,I66-J67,"")</f>
        <v>10000000</v>
      </c>
      <c r="J67" s="32"/>
      <c r="K67" s="32">
        <f>IF(B66&lt;'Умови та класичний графік'!$J$14,((I66*'Умови та класичний графік'!$J$22)/365)*F67,"")</f>
        <v>110410.95890410959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>
        <f>IF(B66&lt;'Умови та класичний графік'!$J$14,XIRR($G$43:G67,$C$43:C67,0),"")</f>
        <v>-0.66768588892303427</v>
      </c>
      <c r="X67" s="42"/>
      <c r="Y67" s="35"/>
    </row>
    <row r="68" spans="2:25" x14ac:dyDescent="0.2">
      <c r="B68" s="25">
        <v>25</v>
      </c>
      <c r="C68" s="36">
        <f>IF(B67&lt;'Умови та класичний графік'!$J$14,EDATE(C67,1),"")</f>
        <v>44958</v>
      </c>
      <c r="D68" s="36">
        <f>IF(B67&lt;'Умови та класичний графік'!$J$14,C67,"")</f>
        <v>44927</v>
      </c>
      <c r="E68" s="26">
        <f>IF(B67&lt;'Умови та класичний графік'!$J$14,C68-1,"")</f>
        <v>44957</v>
      </c>
      <c r="F68" s="37">
        <f>IF(B67&lt;'Умови та класичний графік'!$J$14,E68-D68+1,"")</f>
        <v>31</v>
      </c>
      <c r="G68" s="96">
        <f>IF(B67&lt;'Умови та класичний графік'!$J$14,J68+K68+L68,"")</f>
        <v>110410.95890410959</v>
      </c>
      <c r="H68" s="97"/>
      <c r="I68" s="32">
        <f>IF(B67&lt;'Умови та класичний графік'!$J$14,I67-J68,"")</f>
        <v>10000000</v>
      </c>
      <c r="J68" s="32"/>
      <c r="K68" s="32">
        <f>IF(B67&lt;'Умови та класичний графік'!$J$14,((I67*'Умови та класичний графік'!$J$22)/365)*F68,"")</f>
        <v>110410.95890410959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графік'!$J$14,XIRR($G$43:G68,$C$43:C68,0),"")</f>
        <v>-0.6426549488693849</v>
      </c>
      <c r="X68" s="42"/>
      <c r="Y68" s="35"/>
    </row>
    <row r="69" spans="2:25" x14ac:dyDescent="0.2">
      <c r="B69" s="25">
        <v>26</v>
      </c>
      <c r="C69" s="36">
        <f>IF(B68&lt;'Умови та класичний графік'!$J$14,EDATE(C68,1),"")</f>
        <v>44986</v>
      </c>
      <c r="D69" s="36">
        <f>IF(B68&lt;'Умови та класичний графік'!$J$14,C68,"")</f>
        <v>44958</v>
      </c>
      <c r="E69" s="26">
        <f>IF(B68&lt;'Умови та класичний графік'!$J$14,C69-1,"")</f>
        <v>44985</v>
      </c>
      <c r="F69" s="37">
        <f>IF(B68&lt;'Умови та класичний графік'!$J$14,E69-D69+1,"")</f>
        <v>28</v>
      </c>
      <c r="G69" s="96">
        <f>IF(B68&lt;'Умови та класичний графік'!$J$14,J69+K69+L69,"")</f>
        <v>99726.027397260274</v>
      </c>
      <c r="H69" s="97"/>
      <c r="I69" s="32">
        <f>IF(B68&lt;'Умови та класичний графік'!$J$14,I68-J69,"")</f>
        <v>10000000</v>
      </c>
      <c r="J69" s="32"/>
      <c r="K69" s="32">
        <f>IF(B68&lt;'Умови та класичний графік'!$J$14,((I68*'Умови та класичний графік'!$J$22)/365)*F69,"")</f>
        <v>99726.027397260274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графік'!$J$14,XIRR($G$43:G69,$C$43:C69,0),"")</f>
        <v>-0.62065057947684088</v>
      </c>
      <c r="X69" s="42"/>
      <c r="Y69" s="35"/>
    </row>
    <row r="70" spans="2:25" x14ac:dyDescent="0.2">
      <c r="B70" s="25">
        <v>27</v>
      </c>
      <c r="C70" s="36">
        <f>IF(B69&lt;'Умови та класичний графік'!$J$14,EDATE(C69,1),"")</f>
        <v>45017</v>
      </c>
      <c r="D70" s="36">
        <f>IF(B69&lt;'Умови та класичний графік'!$J$14,C69,"")</f>
        <v>44986</v>
      </c>
      <c r="E70" s="26">
        <f>IF(B69&lt;'Умови та класичний графік'!$J$14,C70-1,"")</f>
        <v>45016</v>
      </c>
      <c r="F70" s="37">
        <f>IF(B69&lt;'Умови та класичний графік'!$J$14,E70-D70+1,"")</f>
        <v>31</v>
      </c>
      <c r="G70" s="96">
        <f>IF(B69&lt;'Умови та класичний графік'!$J$14,J70+K70+L70,"")</f>
        <v>110410.95890410959</v>
      </c>
      <c r="H70" s="97"/>
      <c r="I70" s="32">
        <f>IF(B69&lt;'Умови та класичний графік'!$J$14,I69-J70,"")</f>
        <v>10000000</v>
      </c>
      <c r="J70" s="32"/>
      <c r="K70" s="32">
        <f>IF(B69&lt;'Умови та класичний графік'!$J$14,((I69*'Умови та класичний графік'!$J$22)/365)*F70,"")</f>
        <v>110410.95890410959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графік'!$J$14,XIRR($G$43:G70,$C$43:C70,0),"")</f>
        <v>-0.59680761516891423</v>
      </c>
      <c r="X70" s="42"/>
      <c r="Y70" s="35"/>
    </row>
    <row r="71" spans="2:25" x14ac:dyDescent="0.2">
      <c r="B71" s="25">
        <v>28</v>
      </c>
      <c r="C71" s="36">
        <f>IF(B70&lt;'Умови та класичний графік'!$J$14,EDATE(C70,1),"")</f>
        <v>45047</v>
      </c>
      <c r="D71" s="36">
        <f>IF(B70&lt;'Умови та класичний графік'!$J$14,C70,"")</f>
        <v>45017</v>
      </c>
      <c r="E71" s="26">
        <f>IF(B70&lt;'Умови та класичний графік'!$J$14,C71-1,"")</f>
        <v>45046</v>
      </c>
      <c r="F71" s="37">
        <f>IF(B70&lt;'Умови та класичний графік'!$J$14,E71-D71+1,"")</f>
        <v>30</v>
      </c>
      <c r="G71" s="96">
        <f>IF(B70&lt;'Умови та класичний графік'!$J$14,J71+K71+L71,"")</f>
        <v>106849.31506849316</v>
      </c>
      <c r="H71" s="97"/>
      <c r="I71" s="32">
        <f>IF(B70&lt;'Умови та класичний графік'!$J$14,I70-J71,"")</f>
        <v>10000000</v>
      </c>
      <c r="J71" s="32"/>
      <c r="K71" s="32">
        <f>IF(B70&lt;'Умови та класичний графік'!$J$14,((I70*'Умови та класичний графік'!$J$22)/365)*F71,"")</f>
        <v>106849.31506849316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графік'!$J$14,XIRR($G$43:G71,$C$43:C71,0),"")</f>
        <v>-0.57441538733027875</v>
      </c>
      <c r="X71" s="42"/>
      <c r="Y71" s="35"/>
    </row>
    <row r="72" spans="2:25" x14ac:dyDescent="0.2">
      <c r="B72" s="25">
        <v>29</v>
      </c>
      <c r="C72" s="36">
        <f>IF(B71&lt;'Умови та класичний графік'!$J$14,EDATE(C71,1),"")</f>
        <v>45078</v>
      </c>
      <c r="D72" s="36">
        <f>IF(B71&lt;'Умови та класичний графік'!$J$14,C71,"")</f>
        <v>45047</v>
      </c>
      <c r="E72" s="26">
        <f>IF(B71&lt;'Умови та класичний графік'!$J$14,C72-1,"")</f>
        <v>45077</v>
      </c>
      <c r="F72" s="37">
        <f>IF(B71&lt;'Умови та класичний графік'!$J$14,E72-D72+1,"")</f>
        <v>31</v>
      </c>
      <c r="G72" s="96">
        <f>IF(B71&lt;'Умови та класичний графік'!$J$14,J72+K72+L72,"")</f>
        <v>110410.95890410959</v>
      </c>
      <c r="H72" s="97"/>
      <c r="I72" s="32">
        <f>IF(B71&lt;'Умови та класичний графік'!$J$14,I71-J72,"")</f>
        <v>10000000</v>
      </c>
      <c r="J72" s="32"/>
      <c r="K72" s="32">
        <f>IF(B71&lt;'Умови та класичний графік'!$J$14,((I71*'Умови та класичний графік'!$J$22)/365)*F72,"")</f>
        <v>110410.95890410959</v>
      </c>
      <c r="L72" s="30">
        <f>IF(B71&lt;'Умови та класичний графік'!$J$14,SUM(M72:V72),"")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графік'!$J$14,XIRR($G$43:G72,$C$43:C72,0),"")</f>
        <v>-0.55194710472546527</v>
      </c>
      <c r="X72" s="42"/>
      <c r="Y72" s="35"/>
    </row>
    <row r="73" spans="2:25" x14ac:dyDescent="0.2">
      <c r="B73" s="25">
        <v>30</v>
      </c>
      <c r="C73" s="36">
        <f>IF(B72&lt;'Умови та класичний графік'!$J$14,EDATE(C72,1),"")</f>
        <v>45108</v>
      </c>
      <c r="D73" s="36">
        <f>IF(B72&lt;'Умови та класичний графік'!$J$14,C72,"")</f>
        <v>45078</v>
      </c>
      <c r="E73" s="26">
        <f>IF(B72&lt;'Умови та класичний графік'!$J$14,C73-1,"")</f>
        <v>45107</v>
      </c>
      <c r="F73" s="37">
        <f>IF(B72&lt;'Умови та класичний графік'!$J$14,E73-D73+1,"")</f>
        <v>30</v>
      </c>
      <c r="G73" s="96">
        <f>IF(B72&lt;'Умови та класичний графік'!$J$14,J73+K73+L73,"")</f>
        <v>106849.31506849316</v>
      </c>
      <c r="H73" s="97"/>
      <c r="I73" s="32">
        <f>IF(B72&lt;'Умови та класичний графік'!$J$14,I72-J73,"")</f>
        <v>10000000</v>
      </c>
      <c r="J73" s="32"/>
      <c r="K73" s="32">
        <f>IF(B72&lt;'Умови та класичний графік'!$J$14,((I72*'Умови та класичний графік'!$J$22)/365)*F73,"")</f>
        <v>106849.31506849316</v>
      </c>
      <c r="L73" s="30">
        <f>IF(B72&lt;'Умови та класичний графік'!$J$14,SUM(M73:V73),"")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графік'!$J$14,XIRR($G$43:G73,$C$43:C73,0),"")</f>
        <v>-0.53091199029657998</v>
      </c>
      <c r="X73" s="42"/>
      <c r="Y73" s="35"/>
    </row>
    <row r="74" spans="2:25" x14ac:dyDescent="0.2">
      <c r="B74" s="25">
        <v>31</v>
      </c>
      <c r="C74" s="36">
        <f>IF(B73&lt;'Умови та класичний графік'!$J$14,EDATE(C73,1),"")</f>
        <v>45139</v>
      </c>
      <c r="D74" s="36">
        <f>IF(B73&lt;'Умови та класичний графік'!$J$14,C73,"")</f>
        <v>45108</v>
      </c>
      <c r="E74" s="26">
        <f>IF(B73&lt;'Умови та класичний графік'!$J$14,C74-1,"")</f>
        <v>45138</v>
      </c>
      <c r="F74" s="37">
        <f>IF(B73&lt;'Умови та класичний графік'!$J$14,E74-D74+1,"")</f>
        <v>31</v>
      </c>
      <c r="G74" s="96">
        <f>IF(B73&lt;'Умови та класичний графік'!$J$14,J74+K74+L74,"")</f>
        <v>110410.95890410959</v>
      </c>
      <c r="H74" s="97"/>
      <c r="I74" s="32">
        <f>IF(B73&lt;'Умови та класичний графік'!$J$14,I73-J74,"")</f>
        <v>10000000</v>
      </c>
      <c r="J74" s="32"/>
      <c r="K74" s="32">
        <f>IF(B73&lt;'Умови та класичний графік'!$J$14,((I73*'Умови та класичний графік'!$J$22)/365)*F74,"")</f>
        <v>110410.95890410959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графік'!$J$14,XIRR($G$43:G74,$C$43:C74,0),"")</f>
        <v>-0.50986491408016543</v>
      </c>
      <c r="X74" s="42"/>
      <c r="Y74" s="35"/>
    </row>
    <row r="75" spans="2:25" x14ac:dyDescent="0.2">
      <c r="B75" s="25">
        <v>32</v>
      </c>
      <c r="C75" s="36">
        <f>IF(B74&lt;'Умови та класичний графік'!$J$14,EDATE(C74,1),"")</f>
        <v>45170</v>
      </c>
      <c r="D75" s="36">
        <f>IF(B74&lt;'Умови та класичний графік'!$J$14,C74,"")</f>
        <v>45139</v>
      </c>
      <c r="E75" s="26">
        <f>IF(B74&lt;'Умови та класичний графік'!$J$14,C75-1,"")</f>
        <v>45169</v>
      </c>
      <c r="F75" s="37">
        <f>IF(B74&lt;'Умови та класичний графік'!$J$14,E75-D75+1,"")</f>
        <v>31</v>
      </c>
      <c r="G75" s="96">
        <f>IF(B74&lt;'Умови та класичний графік'!$J$14,J75+K75+L75,"")</f>
        <v>110410.95890410959</v>
      </c>
      <c r="H75" s="97"/>
      <c r="I75" s="32">
        <f>IF(B74&lt;'Умови та класичний графік'!$J$14,I74-J75,"")</f>
        <v>10000000</v>
      </c>
      <c r="J75" s="32"/>
      <c r="K75" s="32">
        <f>IF(B74&lt;'Умови та класичний графік'!$J$14,((I74*'Умови та класичний графік'!$J$22)/365)*F75,"")</f>
        <v>110410.95890410959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графік'!$J$14,XIRR($G$43:G75,$C$43:C75,0),"")</f>
        <v>-0.48953972857467831</v>
      </c>
      <c r="X75" s="42"/>
      <c r="Y75" s="35"/>
    </row>
    <row r="76" spans="2:25" x14ac:dyDescent="0.2">
      <c r="B76" s="25">
        <v>33</v>
      </c>
      <c r="C76" s="36">
        <f>IF(B75&lt;'Умови та класичний графік'!$J$14,EDATE(C75,1),"")</f>
        <v>45200</v>
      </c>
      <c r="D76" s="36">
        <f>IF(B75&lt;'Умови та класичний графік'!$J$14,C75,"")</f>
        <v>45170</v>
      </c>
      <c r="E76" s="26">
        <f>IF(B75&lt;'Умови та класичний графік'!$J$14,C76-1,"")</f>
        <v>45199</v>
      </c>
      <c r="F76" s="37">
        <f>IF(B75&lt;'Умови та класичний графік'!$J$14,E76-D76+1,"")</f>
        <v>30</v>
      </c>
      <c r="G76" s="96">
        <f>IF(B75&lt;'Умови та класичний графік'!$J$14,J76+K76+L76,"")</f>
        <v>106849.31506849316</v>
      </c>
      <c r="H76" s="97"/>
      <c r="I76" s="32">
        <f>IF(B75&lt;'Умови та класичний графік'!$J$14,I75-J76,"")</f>
        <v>10000000</v>
      </c>
      <c r="J76" s="32"/>
      <c r="K76" s="32">
        <f>IF(B75&lt;'Умови та класичний графік'!$J$14,((I75*'Умови та класичний графік'!$J$22)/365)*F76,"")</f>
        <v>106849.31506849316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графік'!$J$14,XIRR($G$43:G76,$C$43:C76,0),"")</f>
        <v>-0.47056488396890461</v>
      </c>
      <c r="X76" s="42"/>
      <c r="Y76" s="35"/>
    </row>
    <row r="77" spans="2:25" x14ac:dyDescent="0.2">
      <c r="B77" s="25">
        <v>34</v>
      </c>
      <c r="C77" s="36">
        <f>IF(B76&lt;'Умови та класичний графік'!$J$14,EDATE(C76,1),"")</f>
        <v>45231</v>
      </c>
      <c r="D77" s="36">
        <f>IF(B76&lt;'Умови та класичний графік'!$J$14,C76,"")</f>
        <v>45200</v>
      </c>
      <c r="E77" s="26">
        <f>IF(B76&lt;'Умови та класичний графік'!$J$14,C77-1,"")</f>
        <v>45230</v>
      </c>
      <c r="F77" s="37">
        <f>IF(B76&lt;'Умови та класичний графік'!$J$14,E77-D77+1,"")</f>
        <v>31</v>
      </c>
      <c r="G77" s="96">
        <f>IF(B76&lt;'Умови та класичний графік'!$J$14,J77+K77+L77,"")</f>
        <v>110410.95890410959</v>
      </c>
      <c r="H77" s="97"/>
      <c r="I77" s="32">
        <f>IF(B76&lt;'Умови та класичний графік'!$J$14,I76-J77,"")</f>
        <v>10000000</v>
      </c>
      <c r="J77" s="32"/>
      <c r="K77" s="32">
        <f>IF(B76&lt;'Умови та класичний графік'!$J$14,((I76*'Умови та класичний графік'!$J$22)/365)*F77,"")</f>
        <v>110410.95890410959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графік'!$J$14,XIRR($G$43:G77,$C$43:C77,0),"")</f>
        <v>-0.45162842437051243</v>
      </c>
      <c r="X77" s="42"/>
      <c r="Y77" s="35"/>
    </row>
    <row r="78" spans="2:25" x14ac:dyDescent="0.2">
      <c r="B78" s="25">
        <v>35</v>
      </c>
      <c r="C78" s="36">
        <f>IF(B77&lt;'Умови та класичний графік'!$J$14,EDATE(C77,1),"")</f>
        <v>45261</v>
      </c>
      <c r="D78" s="36">
        <f>IF(B77&lt;'Умови та класичний графік'!$J$14,C77,"")</f>
        <v>45231</v>
      </c>
      <c r="E78" s="26">
        <f>IF(B77&lt;'Умови та класичний графік'!$J$14,C78-1,"")</f>
        <v>45260</v>
      </c>
      <c r="F78" s="37">
        <f>IF(B77&lt;'Умови та класичний графік'!$J$14,E78-D78+1,"")</f>
        <v>30</v>
      </c>
      <c r="G78" s="96">
        <f>IF(B77&lt;'Умови та класичний графік'!$J$14,J78+K78+L78,"")</f>
        <v>106849.31506849316</v>
      </c>
      <c r="H78" s="97"/>
      <c r="I78" s="32">
        <f>IF(B77&lt;'Умови та класичний графік'!$J$14,I77-J78,"")</f>
        <v>10000000</v>
      </c>
      <c r="J78" s="32"/>
      <c r="K78" s="32">
        <f>IF(B77&lt;'Умови та класичний графік'!$J$14,((I77*'Умови та класичний графік'!$J$22)/365)*F78,"")</f>
        <v>106849.31506849316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графік'!$J$14,XIRR($G$43:G78,$C$43:C78,0),"")</f>
        <v>-0.43396854938678442</v>
      </c>
      <c r="X78" s="42"/>
      <c r="Y78" s="35"/>
    </row>
    <row r="79" spans="2:25" x14ac:dyDescent="0.2">
      <c r="B79" s="25">
        <v>36</v>
      </c>
      <c r="C79" s="36">
        <f>IF(B78&lt;'Умови та класичний графік'!$J$14,EDATE(C78,1),"")</f>
        <v>45292</v>
      </c>
      <c r="D79" s="36">
        <f>IF(B78&lt;'Умови та класичний графік'!$J$14,C78,"")</f>
        <v>45261</v>
      </c>
      <c r="E79" s="26">
        <f>IF(B78&lt;'Умови та класичний графік'!$J$14,C79-1,"")</f>
        <v>45291</v>
      </c>
      <c r="F79" s="37">
        <f>IF(B78&lt;'Умови та класичний графік'!$J$14,E79-D79+1,"")</f>
        <v>31</v>
      </c>
      <c r="G79" s="96">
        <f>IF(B78&lt;'Умови та класичний графік'!$J$14,J79+K79+L79,"")</f>
        <v>110410.95890410959</v>
      </c>
      <c r="H79" s="97"/>
      <c r="I79" s="32">
        <f>IF(B78&lt;'Умови та класичний графік'!$J$14,I78-J79,"")</f>
        <v>10000000</v>
      </c>
      <c r="J79" s="32"/>
      <c r="K79" s="32">
        <f>IF(B78&lt;'Умови та класичний графік'!$J$14,((I78*'Умови та класичний графік'!$J$22)/365)*F79,"")</f>
        <v>110410.95890410959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>
        <f>IF(B78&lt;'Умови та класичний графік'!$J$14,XIRR($G$43:G79,$C$43:C79,0),"")</f>
        <v>-0.41636169220440089</v>
      </c>
      <c r="X79" s="42"/>
      <c r="Y79" s="35"/>
    </row>
    <row r="80" spans="2:25" x14ac:dyDescent="0.2">
      <c r="B80" s="25">
        <v>37</v>
      </c>
      <c r="C80" s="36">
        <f>IF(B79&lt;'Умови та класичний графік'!$J$14,EDATE(C79,1),"")</f>
        <v>45323</v>
      </c>
      <c r="D80" s="36">
        <f>IF(B79&lt;'Умови та класичний графік'!$J$14,C79,"")</f>
        <v>45292</v>
      </c>
      <c r="E80" s="26">
        <f>IF(B79&lt;'Умови та класичний графік'!$J$14,C80-1,"")</f>
        <v>45322</v>
      </c>
      <c r="F80" s="37">
        <f>IF(B79&lt;'Умови та класичний графік'!$J$14,E80-D80+1,"")</f>
        <v>31</v>
      </c>
      <c r="G80" s="96">
        <f>IF(B79&lt;'Умови та класичний графік'!$J$14,J80+K80+L80,"")</f>
        <v>110410.95890410959</v>
      </c>
      <c r="H80" s="97"/>
      <c r="I80" s="32">
        <f>IF(B79&lt;'Умови та класичний графік'!$J$14,I79-J80,"")</f>
        <v>10000000</v>
      </c>
      <c r="J80" s="32"/>
      <c r="K80" s="32">
        <f>IF(B79&lt;'Умови та класичний графік'!$J$14,((I79*'Умови та класичний графік'!$J$22)/365)*F80,"")</f>
        <v>110410.95890410959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графік'!$J$14,XIRR($G$43:G80,$C$43:C80,0),"")</f>
        <v>-0.39940344628028579</v>
      </c>
      <c r="X80" s="42"/>
      <c r="Y80" s="35"/>
    </row>
    <row r="81" spans="2:25" x14ac:dyDescent="0.2">
      <c r="B81" s="25">
        <v>38</v>
      </c>
      <c r="C81" s="36">
        <f>IF(B80&lt;'Умови та класичний графік'!$J$14,EDATE(C80,1),"")</f>
        <v>45352</v>
      </c>
      <c r="D81" s="36">
        <f>IF(B80&lt;'Умови та класичний графік'!$J$14,C80,"")</f>
        <v>45323</v>
      </c>
      <c r="E81" s="26">
        <f>IF(B80&lt;'Умови та класичний графік'!$J$14,C81-1,"")</f>
        <v>45351</v>
      </c>
      <c r="F81" s="37">
        <f>IF(B80&lt;'Умови та класичний графік'!$J$14,E81-D81+1,"")</f>
        <v>29</v>
      </c>
      <c r="G81" s="96">
        <f>IF(B80&lt;'Умови та класичний графік'!$J$14,J81+K81+L81,"")</f>
        <v>103287.67123287672</v>
      </c>
      <c r="H81" s="97"/>
      <c r="I81" s="32">
        <f>IF(B80&lt;'Умови та класичний графік'!$J$14,I80-J81,"")</f>
        <v>10000000</v>
      </c>
      <c r="J81" s="32"/>
      <c r="K81" s="32">
        <f>IF(B80&lt;'Умови та класичний графік'!$J$14,((I80*'Умови та класичний графік'!$J$22)/365)*F81,"")</f>
        <v>103287.67123287672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графік'!$J$14,XIRR($G$43:G81,$C$43:C81,0),"")</f>
        <v>-0.38412764383964237</v>
      </c>
      <c r="X81" s="42"/>
      <c r="Y81" s="35"/>
    </row>
    <row r="82" spans="2:25" x14ac:dyDescent="0.2">
      <c r="B82" s="25">
        <v>39</v>
      </c>
      <c r="C82" s="36">
        <f>IF(B81&lt;'Умови та класичний графік'!$J$14,EDATE(C81,1),"")</f>
        <v>45383</v>
      </c>
      <c r="D82" s="36">
        <f>IF(B81&lt;'Умови та класичний графік'!$J$14,C81,"")</f>
        <v>45352</v>
      </c>
      <c r="E82" s="26">
        <f>IF(B81&lt;'Умови та класичний графік'!$J$14,C82-1,"")</f>
        <v>45382</v>
      </c>
      <c r="F82" s="37">
        <f>IF(B81&lt;'Умови та класичний графік'!$J$14,E82-D82+1,"")</f>
        <v>31</v>
      </c>
      <c r="G82" s="96">
        <f>IF(B81&lt;'Умови та класичний графік'!$J$14,J82+K82+L82,"")</f>
        <v>110410.95890410959</v>
      </c>
      <c r="H82" s="97"/>
      <c r="I82" s="32">
        <f>IF(B81&lt;'Умови та класичний графік'!$J$14,I81-J82,"")</f>
        <v>10000000</v>
      </c>
      <c r="J82" s="32"/>
      <c r="K82" s="32">
        <f>IF(B81&lt;'Умови та класичний графік'!$J$14,((I81*'Умови та класичний графік'!$J$22)/365)*F82,"")</f>
        <v>110410.95890410959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графік'!$J$14,XIRR($G$43:G82,$C$43:C82,0),"")</f>
        <v>-0.36836325583580892</v>
      </c>
      <c r="X82" s="42"/>
      <c r="Y82" s="35"/>
    </row>
    <row r="83" spans="2:25" x14ac:dyDescent="0.2">
      <c r="B83" s="25">
        <v>40</v>
      </c>
      <c r="C83" s="36">
        <f>IF(B82&lt;'Умови та класичний графік'!$J$14,EDATE(C82,1),"")</f>
        <v>45413</v>
      </c>
      <c r="D83" s="36">
        <f>IF(B82&lt;'Умови та класичний графік'!$J$14,C82,"")</f>
        <v>45383</v>
      </c>
      <c r="E83" s="26">
        <f>IF(B82&lt;'Умови та класичний графік'!$J$14,C83-1,"")</f>
        <v>45412</v>
      </c>
      <c r="F83" s="37">
        <f>IF(B82&lt;'Умови та класичний графік'!$J$14,E83-D83+1,"")</f>
        <v>30</v>
      </c>
      <c r="G83" s="96">
        <f>IF(B82&lt;'Умови та класичний графік'!$J$14,J83+K83+L83,"")</f>
        <v>106849.31506849316</v>
      </c>
      <c r="H83" s="97"/>
      <c r="I83" s="32">
        <f>IF(B82&lt;'Умови та класичний графік'!$J$14,I82-J83,"")</f>
        <v>10000000</v>
      </c>
      <c r="J83" s="32"/>
      <c r="K83" s="32">
        <f>IF(B82&lt;'Умови та класичний графік'!$J$14,((I82*'Умови та класичний графік'!$J$22)/365)*F83,"")</f>
        <v>106849.31506849316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графік'!$J$14,XIRR($G$43:G83,$C$43:C83,0),"")</f>
        <v>-0.35367484757013612</v>
      </c>
      <c r="X83" s="42"/>
      <c r="Y83" s="35"/>
    </row>
    <row r="84" spans="2:25" x14ac:dyDescent="0.2">
      <c r="B84" s="25">
        <v>41</v>
      </c>
      <c r="C84" s="36">
        <f>IF(B83&lt;'Умови та класичний графік'!$J$14,EDATE(C83,1),"")</f>
        <v>45444</v>
      </c>
      <c r="D84" s="36">
        <f>IF(B83&lt;'Умови та класичний графік'!$J$14,C83,"")</f>
        <v>45413</v>
      </c>
      <c r="E84" s="26">
        <f>IF(B83&lt;'Умови та класичний графік'!$J$14,C84-1,"")</f>
        <v>45443</v>
      </c>
      <c r="F84" s="37">
        <f>IF(B83&lt;'Умови та класичний графік'!$J$14,E84-D84+1,"")</f>
        <v>31</v>
      </c>
      <c r="G84" s="96">
        <f>IF(B83&lt;'Умови та класичний графік'!$J$14,J84+K84+L84,"")</f>
        <v>110410.95890410959</v>
      </c>
      <c r="H84" s="97"/>
      <c r="I84" s="32">
        <f>IF(B83&lt;'Умови та класичний графік'!$J$14,I83-J84,"")</f>
        <v>10000000</v>
      </c>
      <c r="J84" s="32"/>
      <c r="K84" s="32">
        <f>IF(B83&lt;'Умови та класичний графік'!$J$14,((I83*'Умови та класичний графік'!$J$22)/365)*F84,"")</f>
        <v>110410.95890410959</v>
      </c>
      <c r="L84" s="30">
        <f>IF(B83&lt;'Умови та класичний графік'!$J$14,SUM(M84:V84),"")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графік'!$J$14,XIRR($G$43:G84,$C$43:C84,0),"")</f>
        <v>-0.33904366291649646</v>
      </c>
      <c r="X84" s="42"/>
      <c r="Y84" s="35"/>
    </row>
    <row r="85" spans="2:25" x14ac:dyDescent="0.2">
      <c r="B85" s="25">
        <v>42</v>
      </c>
      <c r="C85" s="36">
        <f>IF(B84&lt;'Умови та класичний графік'!$J$14,EDATE(C84,1),"")</f>
        <v>45474</v>
      </c>
      <c r="D85" s="36">
        <f>IF(B84&lt;'Умови та класичний графік'!$J$14,C84,"")</f>
        <v>45444</v>
      </c>
      <c r="E85" s="26">
        <f>IF(B84&lt;'Умови та класичний графік'!$J$14,C85-1,"")</f>
        <v>45473</v>
      </c>
      <c r="F85" s="37">
        <f>IF(B84&lt;'Умови та класичний графік'!$J$14,E85-D85+1,"")</f>
        <v>30</v>
      </c>
      <c r="G85" s="96">
        <f>IF(B84&lt;'Умови та класичний графік'!$J$14,J85+K85+L85,"")</f>
        <v>106849.31506849316</v>
      </c>
      <c r="H85" s="97"/>
      <c r="I85" s="32">
        <f>IF(B84&lt;'Умови та класичний графік'!$J$14,I84-J85,"")</f>
        <v>10000000</v>
      </c>
      <c r="J85" s="32"/>
      <c r="K85" s="32">
        <f>IF(B84&lt;'Умови та класичний графік'!$J$14,((I84*'Умови та класичний графік'!$J$22)/365)*F85,"")</f>
        <v>106849.31506849316</v>
      </c>
      <c r="L85" s="30">
        <f>IF(B84&lt;'Умови та класичний графік'!$J$14,SUM(M85:V85),"")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графік'!$J$14,XIRR($G$43:G85,$C$43:C85,0),"")</f>
        <v>-0.32541014573149385</v>
      </c>
      <c r="X85" s="42"/>
      <c r="Y85" s="35"/>
    </row>
    <row r="86" spans="2:25" x14ac:dyDescent="0.2">
      <c r="B86" s="25">
        <v>43</v>
      </c>
      <c r="C86" s="36">
        <f>IF(B85&lt;'Умови та класичний графік'!$J$14,EDATE(C85,1),"")</f>
        <v>45505</v>
      </c>
      <c r="D86" s="36">
        <f>IF(B85&lt;'Умови та класичний графік'!$J$14,C85,"")</f>
        <v>45474</v>
      </c>
      <c r="E86" s="26">
        <f>IF(B85&lt;'Умови та класичний графік'!$J$14,C86-1,"")</f>
        <v>45504</v>
      </c>
      <c r="F86" s="37">
        <f>IF(B85&lt;'Умови та класичний графік'!$J$14,E86-D86+1,"")</f>
        <v>31</v>
      </c>
      <c r="G86" s="96">
        <f>IF(B85&lt;'Умови та класичний графік'!$J$14,J86+K86+L86,"")</f>
        <v>110410.95890410959</v>
      </c>
      <c r="H86" s="97"/>
      <c r="I86" s="32">
        <f>IF(B85&lt;'Умови та класичний графік'!$J$14,I85-J86,"")</f>
        <v>10000000</v>
      </c>
      <c r="J86" s="32"/>
      <c r="K86" s="32">
        <f>IF(B85&lt;'Умови та класичний графік'!$J$14,((I85*'Умови та класичний графік'!$J$22)/365)*F86,"")</f>
        <v>110410.95890410959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графік'!$J$14,XIRR($G$43:G86,$C$43:C86,0),"")</f>
        <v>-0.31182925892151891</v>
      </c>
      <c r="X86" s="42"/>
      <c r="Y86" s="35"/>
    </row>
    <row r="87" spans="2:25" x14ac:dyDescent="0.2">
      <c r="B87" s="25">
        <v>44</v>
      </c>
      <c r="C87" s="36">
        <f>IF(B86&lt;'Умови та класичний графік'!$J$14,EDATE(C86,1),"")</f>
        <v>45536</v>
      </c>
      <c r="D87" s="36">
        <f>IF(B86&lt;'Умови та класичний графік'!$J$14,C86,"")</f>
        <v>45505</v>
      </c>
      <c r="E87" s="26">
        <f>IF(B86&lt;'Умови та класичний графік'!$J$14,C87-1,"")</f>
        <v>45535</v>
      </c>
      <c r="F87" s="37">
        <f>IF(B86&lt;'Умови та класичний графік'!$J$14,E87-D87+1,"")</f>
        <v>31</v>
      </c>
      <c r="G87" s="96">
        <f>IF(B86&lt;'Умови та класичний графік'!$J$14,J87+K87+L87,"")</f>
        <v>110410.95890410959</v>
      </c>
      <c r="H87" s="97"/>
      <c r="I87" s="32">
        <f>IF(B86&lt;'Умови та класичний графік'!$J$14,I86-J87,"")</f>
        <v>10000000</v>
      </c>
      <c r="J87" s="32"/>
      <c r="K87" s="32">
        <f>IF(B86&lt;'Умови та класичний графік'!$J$14,((I86*'Умови та класичний графік'!$J$22)/365)*F87,"")</f>
        <v>110410.95890410959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графік'!$J$14,XIRR($G$43:G87,$C$43:C87,0),"")</f>
        <v>-0.29875150478787715</v>
      </c>
      <c r="X87" s="42"/>
      <c r="Y87" s="35"/>
    </row>
    <row r="88" spans="2:25" x14ac:dyDescent="0.2">
      <c r="B88" s="25">
        <v>45</v>
      </c>
      <c r="C88" s="36">
        <f>IF(B87&lt;'Умови та класичний графік'!$J$14,EDATE(C87,1),"")</f>
        <v>45566</v>
      </c>
      <c r="D88" s="36">
        <f>IF(B87&lt;'Умови та класичний графік'!$J$14,C87,"")</f>
        <v>45536</v>
      </c>
      <c r="E88" s="26">
        <f>IF(B87&lt;'Умови та класичний графік'!$J$14,C88-1,"")</f>
        <v>45565</v>
      </c>
      <c r="F88" s="37">
        <f>IF(B87&lt;'Умови та класичний графік'!$J$14,E88-D88+1,"")</f>
        <v>30</v>
      </c>
      <c r="G88" s="96">
        <f>IF(B87&lt;'Умови та класичний графік'!$J$14,J88+K88+L88,"")</f>
        <v>106849.31506849316</v>
      </c>
      <c r="H88" s="97"/>
      <c r="I88" s="32">
        <f>IF(B87&lt;'Умови та класичний графік'!$J$14,I87-J88,"")</f>
        <v>10000000</v>
      </c>
      <c r="J88" s="32"/>
      <c r="K88" s="32">
        <f>IF(B87&lt;'Умови та класичний графік'!$J$14,((I87*'Умови та класичний графік'!$J$22)/365)*F88,"")</f>
        <v>106849.31506849316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графік'!$J$14,XIRR($G$43:G88,$C$43:C88,0),"")</f>
        <v>-0.28656086751349275</v>
      </c>
      <c r="X88" s="42"/>
      <c r="Y88" s="35"/>
    </row>
    <row r="89" spans="2:25" x14ac:dyDescent="0.2">
      <c r="B89" s="25">
        <v>46</v>
      </c>
      <c r="C89" s="36">
        <f>IF(B88&lt;'Умови та класичний графік'!$J$14,EDATE(C88,1),"")</f>
        <v>45597</v>
      </c>
      <c r="D89" s="36">
        <f>IF(B88&lt;'Умови та класичний графік'!$J$14,C88,"")</f>
        <v>45566</v>
      </c>
      <c r="E89" s="26">
        <f>IF(B88&lt;'Умови та класичний графік'!$J$14,C89-1,"")</f>
        <v>45596</v>
      </c>
      <c r="F89" s="37">
        <f>IF(B88&lt;'Умови та класичний графік'!$J$14,E89-D89+1,"")</f>
        <v>31</v>
      </c>
      <c r="G89" s="96">
        <f>IF(B88&lt;'Умови та класичний графік'!$J$14,J89+K89+L89,"")</f>
        <v>110410.95890410959</v>
      </c>
      <c r="H89" s="97"/>
      <c r="I89" s="32">
        <f>IF(B88&lt;'Умови та класичний графік'!$J$14,I88-J89,"")</f>
        <v>10000000</v>
      </c>
      <c r="J89" s="32"/>
      <c r="K89" s="32">
        <f>IF(B88&lt;'Умови та класичний графік'!$J$14,((I88*'Умови та класичний графік'!$J$22)/365)*F89,"")</f>
        <v>110410.95890410959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графік'!$J$14,XIRR($G$43:G89,$C$43:C89,0),"")</f>
        <v>-0.27441358100879937</v>
      </c>
      <c r="X89" s="42"/>
      <c r="Y89" s="35"/>
    </row>
    <row r="90" spans="2:25" x14ac:dyDescent="0.2">
      <c r="B90" s="25">
        <v>47</v>
      </c>
      <c r="C90" s="36">
        <f>IF(B89&lt;'Умови та класичний графік'!$J$14,EDATE(C89,1),"")</f>
        <v>45627</v>
      </c>
      <c r="D90" s="36">
        <f>IF(B89&lt;'Умови та класичний графік'!$J$14,C89,"")</f>
        <v>45597</v>
      </c>
      <c r="E90" s="26">
        <f>IF(B89&lt;'Умови та класичний графік'!$J$14,C90-1,"")</f>
        <v>45626</v>
      </c>
      <c r="F90" s="37">
        <f>IF(B89&lt;'Умови та класичний графік'!$J$14,E90-D90+1,"")</f>
        <v>30</v>
      </c>
      <c r="G90" s="96">
        <f>IF(B89&lt;'Умови та класичний графік'!$J$14,J90+K90+L90,"")</f>
        <v>106849.31506849316</v>
      </c>
      <c r="H90" s="97"/>
      <c r="I90" s="32">
        <f>IF(B89&lt;'Умови та класичний графік'!$J$14,I89-J90,"")</f>
        <v>10000000</v>
      </c>
      <c r="J90" s="32"/>
      <c r="K90" s="32">
        <f>IF(B89&lt;'Умови та класичний графік'!$J$14,((I89*'Умови та класичний графік'!$J$22)/365)*F90,"")</f>
        <v>106849.31506849316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графік'!$J$14,XIRR($G$43:G90,$C$43:C90,0),"")</f>
        <v>-0.2630861258428544</v>
      </c>
      <c r="X90" s="42"/>
      <c r="Y90" s="35"/>
    </row>
    <row r="91" spans="2:25" x14ac:dyDescent="0.2">
      <c r="B91" s="25">
        <v>48</v>
      </c>
      <c r="C91" s="36">
        <f>IF(B90&lt;'Умови та класичний графік'!$J$14,EDATE(C90,1),"")</f>
        <v>45658</v>
      </c>
      <c r="D91" s="36">
        <f>IF(B90&lt;'Умови та класичний графік'!$J$14,C90,"")</f>
        <v>45627</v>
      </c>
      <c r="E91" s="26">
        <f>IF(B90&lt;'Умови та класичний графік'!$J$14,C91-1,"")</f>
        <v>45657</v>
      </c>
      <c r="F91" s="37">
        <f>IF(B90&lt;'Умови та класичний графік'!$J$14,E91-D91+1,"")</f>
        <v>31</v>
      </c>
      <c r="G91" s="96">
        <f>IF(B90&lt;'Умови та класичний графік'!$J$14,J91+K91+L91,"")</f>
        <v>110410.95890410959</v>
      </c>
      <c r="H91" s="97"/>
      <c r="I91" s="32">
        <f>IF(B90&lt;'Умови та класичний графік'!$J$14,I90-J91,"")</f>
        <v>10000000</v>
      </c>
      <c r="J91" s="32"/>
      <c r="K91" s="32">
        <f>IF(B90&lt;'Умови та класичний графік'!$J$14,((I90*'Умови та класичний графік'!$J$22)/365)*F91,"")</f>
        <v>110410.95890410959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>
        <f>IF(B90&lt;'Умови та класичний графік'!$J$14,XIRR($G$43:G91,$C$43:C91,0),"")</f>
        <v>-0.25179534579314289</v>
      </c>
      <c r="X91" s="42"/>
      <c r="Y91" s="35"/>
    </row>
    <row r="92" spans="2:25" x14ac:dyDescent="0.2">
      <c r="B92" s="25">
        <v>49</v>
      </c>
      <c r="C92" s="36">
        <f>IF(B91&lt;'Умови та класичний графік'!$J$14,EDATE(C91,1),"")</f>
        <v>45689</v>
      </c>
      <c r="D92" s="36">
        <f>IF(B91&lt;'Умови та класичний графік'!$J$14,C91,"")</f>
        <v>45658</v>
      </c>
      <c r="E92" s="26">
        <f>IF(B91&lt;'Умови та класичний графік'!$J$14,C92-1,"")</f>
        <v>45688</v>
      </c>
      <c r="F92" s="37">
        <f>IF(B91&lt;'Умови та класичний графік'!$J$14,E92-D92+1,"")</f>
        <v>31</v>
      </c>
      <c r="G92" s="96">
        <f>IF(B91&lt;'Умови та класичний графік'!$J$14,J92+K92+L92,"")</f>
        <v>110410.95890410959</v>
      </c>
      <c r="H92" s="97"/>
      <c r="I92" s="32">
        <f>IF(B91&lt;'Умови та класичний графік'!$J$14,I91-J92,"")</f>
        <v>10000000</v>
      </c>
      <c r="J92" s="32"/>
      <c r="K92" s="32">
        <f>IF(B91&lt;'Умови та класичний графік'!$J$14,((I91*'Умови та класичний графік'!$J$22)/365)*F92,"")</f>
        <v>110410.95890410959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графік'!$J$14,XIRR($G$43:G92,$C$43:C92,0),"")</f>
        <v>-0.24091330423284318</v>
      </c>
      <c r="X92" s="42"/>
      <c r="Y92" s="35"/>
    </row>
    <row r="93" spans="2:25" x14ac:dyDescent="0.2">
      <c r="B93" s="25">
        <v>50</v>
      </c>
      <c r="C93" s="36">
        <f>IF(B92&lt;'Умови та класичний графік'!$J$14,EDATE(C92,1),"")</f>
        <v>45717</v>
      </c>
      <c r="D93" s="36">
        <f>IF(B92&lt;'Умови та класичний графік'!$J$14,C92,"")</f>
        <v>45689</v>
      </c>
      <c r="E93" s="26">
        <f>IF(B92&lt;'Умови та класичний графік'!$J$14,C93-1,"")</f>
        <v>45716</v>
      </c>
      <c r="F93" s="37">
        <f>IF(B92&lt;'Умови та класичний графік'!$J$14,E93-D93+1,"")</f>
        <v>28</v>
      </c>
      <c r="G93" s="96">
        <f>IF(B92&lt;'Умови та класичний графік'!$J$14,J93+K93+L93,"")</f>
        <v>99726.027397260274</v>
      </c>
      <c r="H93" s="97"/>
      <c r="I93" s="32">
        <f>IF(B92&lt;'Умови та класичний графік'!$J$14,I92-J93,"")</f>
        <v>10000000</v>
      </c>
      <c r="J93" s="32"/>
      <c r="K93" s="32">
        <f>IF(B92&lt;'Умови та класичний графік'!$J$14,((I92*'Умови та класичний графік'!$J$22)/365)*F93,"")</f>
        <v>99726.027397260274</v>
      </c>
      <c r="L93" s="30">
        <f>IF(B92&lt;'Умови та класичний графік'!$J$14,SUM(M93:V93),"")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графік'!$J$14,XIRR($G$43:G93,$C$43:C93,0),"")</f>
        <v>-0.23143134315092118</v>
      </c>
      <c r="X93" s="42"/>
      <c r="Y93" s="35"/>
    </row>
    <row r="94" spans="2:25" x14ac:dyDescent="0.2">
      <c r="B94" s="25">
        <v>51</v>
      </c>
      <c r="C94" s="36">
        <f>IF(B93&lt;'Умови та класичний графік'!$J$14,EDATE(C93,1),"")</f>
        <v>45748</v>
      </c>
      <c r="D94" s="36">
        <f>IF(B93&lt;'Умови та класичний графік'!$J$14,C93,"")</f>
        <v>45717</v>
      </c>
      <c r="E94" s="26">
        <f>IF(B93&lt;'Умови та класичний графік'!$J$14,C94-1,"")</f>
        <v>45747</v>
      </c>
      <c r="F94" s="37">
        <f>IF(B93&lt;'Умови та класичний графік'!$J$14,E94-D94+1,"")</f>
        <v>31</v>
      </c>
      <c r="G94" s="96">
        <f>IF(B93&lt;'Умови та класичний графік'!$J$14,J94+K94+L94,"")</f>
        <v>110410.95890410959</v>
      </c>
      <c r="H94" s="97"/>
      <c r="I94" s="32">
        <f>IF(B93&lt;'Умови та класичний графік'!$J$14,I93-J94,"")</f>
        <v>10000000</v>
      </c>
      <c r="J94" s="32"/>
      <c r="K94" s="32">
        <f>IF(B93&lt;'Умови та класичний графік'!$J$14,((I93*'Умови та класичний графік'!$J$22)/365)*F94,"")</f>
        <v>110410.95890410959</v>
      </c>
      <c r="L94" s="30">
        <f>IF(B93&lt;'Умови та класичний графік'!$J$14,SUM(M94:V94),"")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графік'!$J$14,XIRR($G$43:G94,$C$43:C94,0),"")</f>
        <v>-0.22127930590268224</v>
      </c>
      <c r="X94" s="42"/>
      <c r="Y94" s="35"/>
    </row>
    <row r="95" spans="2:25" x14ac:dyDescent="0.2">
      <c r="B95" s="25">
        <v>52</v>
      </c>
      <c r="C95" s="36">
        <f>IF(B94&lt;'Умови та класичний графік'!$J$14,EDATE(C94,1),"")</f>
        <v>45778</v>
      </c>
      <c r="D95" s="36">
        <f>IF(B94&lt;'Умови та класичний графік'!$J$14,C94,"")</f>
        <v>45748</v>
      </c>
      <c r="E95" s="26">
        <f>IF(B94&lt;'Умови та класичний графік'!$J$14,C95-1,"")</f>
        <v>45777</v>
      </c>
      <c r="F95" s="37">
        <f>IF(B94&lt;'Умови та класичний графік'!$J$14,E95-D95+1,"")</f>
        <v>30</v>
      </c>
      <c r="G95" s="96">
        <f>IF(B94&lt;'Умови та класичний графік'!$J$14,J95+K95+L95,"")</f>
        <v>106849.31506849316</v>
      </c>
      <c r="H95" s="97"/>
      <c r="I95" s="32">
        <f>IF(B94&lt;'Умови та класичний графік'!$J$14,I94-J95,"")</f>
        <v>10000000</v>
      </c>
      <c r="J95" s="32"/>
      <c r="K95" s="32">
        <f>IF(B94&lt;'Умови та класичний графік'!$J$14,((I94*'Умови та класичний графік'!$J$22)/365)*F95,"")</f>
        <v>106849.31506849316</v>
      </c>
      <c r="L95" s="30">
        <f>IF(B94&lt;'Умови та класичний графік'!$J$14,SUM(M95:V95),"")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графік'!$J$14,XIRR($G$43:G95,$C$43:C95,0),"")</f>
        <v>-0.21180150965366512</v>
      </c>
      <c r="X95" s="42"/>
      <c r="Y95" s="35"/>
    </row>
    <row r="96" spans="2:25" x14ac:dyDescent="0.2">
      <c r="B96" s="25">
        <v>53</v>
      </c>
      <c r="C96" s="36">
        <f>IF(B95&lt;'Умови та класичний графік'!$J$14,EDATE(C95,1),"")</f>
        <v>45809</v>
      </c>
      <c r="D96" s="36">
        <f>IF(B95&lt;'Умови та класичний графік'!$J$14,C95,"")</f>
        <v>45778</v>
      </c>
      <c r="E96" s="26">
        <f>IF(B95&lt;'Умови та класичний графік'!$J$14,C96-1,"")</f>
        <v>45808</v>
      </c>
      <c r="F96" s="37">
        <f>IF(B95&lt;'Умови та класичний графік'!$J$14,E96-D96+1,"")</f>
        <v>31</v>
      </c>
      <c r="G96" s="96">
        <f>IF(B95&lt;'Умови та класичний графік'!$J$14,J96+K96+L96,"")</f>
        <v>110410.95890410959</v>
      </c>
      <c r="H96" s="97"/>
      <c r="I96" s="32">
        <f>IF(B95&lt;'Умови та класичний графік'!$J$14,I95-J96,"")</f>
        <v>10000000</v>
      </c>
      <c r="J96" s="32"/>
      <c r="K96" s="32">
        <f>IF(B95&lt;'Умови та класичний графік'!$J$14,((I95*'Умови та класичний графік'!$J$22)/365)*F96,"")</f>
        <v>110410.95890410959</v>
      </c>
      <c r="L96" s="30">
        <f>IF(B95&lt;'Умови та класичний графік'!$J$14,SUM(M96:V96),"")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графік'!$J$14,XIRR($G$43:G96,$C$43:C96,0),"")</f>
        <v>-0.2023447610843554</v>
      </c>
      <c r="X96" s="42"/>
      <c r="Y96" s="35"/>
    </row>
    <row r="97" spans="2:25" x14ac:dyDescent="0.2">
      <c r="B97" s="25">
        <v>54</v>
      </c>
      <c r="C97" s="36">
        <f>IF(B96&lt;'Умови та класичний графік'!$J$14,EDATE(C96,1),"")</f>
        <v>45839</v>
      </c>
      <c r="D97" s="36">
        <f>IF(B96&lt;'Умови та класичний графік'!$J$14,C96,"")</f>
        <v>45809</v>
      </c>
      <c r="E97" s="26">
        <f>IF(B96&lt;'Умови та класичний графік'!$J$14,C97-1,"")</f>
        <v>45838</v>
      </c>
      <c r="F97" s="37">
        <f>IF(B96&lt;'Умови та класичний графік'!$J$14,E97-D97+1,"")</f>
        <v>30</v>
      </c>
      <c r="G97" s="96">
        <f>IF(B96&lt;'Умови та класичний графік'!$J$14,J97+K97+L97,"")</f>
        <v>106849.31506849316</v>
      </c>
      <c r="H97" s="97"/>
      <c r="I97" s="32">
        <f>IF(B96&lt;'Умови та класичний графік'!$J$14,I96-J97,"")</f>
        <v>10000000</v>
      </c>
      <c r="J97" s="32"/>
      <c r="K97" s="32">
        <f>IF(B96&lt;'Умови та класичний графік'!$J$14,((I96*'Умови та класичний графік'!$J$22)/365)*F97,"")</f>
        <v>106849.31506849316</v>
      </c>
      <c r="L97" s="30">
        <f>IF(B96&lt;'Умови та класичний графік'!$J$14,SUM(M97:V97),"")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графік'!$J$14,XIRR($G$43:G97,$C$43:C97,0),"")</f>
        <v>-0.19351144851323215</v>
      </c>
      <c r="X97" s="42"/>
      <c r="Y97" s="35"/>
    </row>
    <row r="98" spans="2:25" x14ac:dyDescent="0.2">
      <c r="B98" s="25">
        <v>55</v>
      </c>
      <c r="C98" s="36">
        <f>IF(B97&lt;'Умови та класичний графік'!$J$14,EDATE(C97,1),"")</f>
        <v>45870</v>
      </c>
      <c r="D98" s="36">
        <f>IF(B97&lt;'Умови та класичний графік'!$J$14,C97,"")</f>
        <v>45839</v>
      </c>
      <c r="E98" s="26">
        <f>IF(B97&lt;'Умови та класичний графік'!$J$14,C98-1,"")</f>
        <v>45869</v>
      </c>
      <c r="F98" s="37">
        <f>IF(B97&lt;'Умови та класичний графік'!$J$14,E98-D98+1,"")</f>
        <v>31</v>
      </c>
      <c r="G98" s="96">
        <f>IF(B97&lt;'Умови та класичний графік'!$J$14,J98+K98+L98,"")</f>
        <v>110410.95890410959</v>
      </c>
      <c r="H98" s="97"/>
      <c r="I98" s="32">
        <f>IF(B97&lt;'Умови та класичний графік'!$J$14,I97-J98,"")</f>
        <v>10000000</v>
      </c>
      <c r="J98" s="32"/>
      <c r="K98" s="32">
        <f>IF(B97&lt;'Умови та класичний графік'!$J$14,((I97*'Умови та класичний графік'!$J$22)/365)*F98,"")</f>
        <v>110410.95890410959</v>
      </c>
      <c r="L98" s="30">
        <f>IF(B97&lt;'Умови та класичний графік'!$J$14,SUM(M98:V98),"")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графік'!$J$14,XIRR($G$43:G98,$C$43:C98,0),"")</f>
        <v>-0.18469361064326018</v>
      </c>
      <c r="X98" s="42"/>
      <c r="Y98" s="35"/>
    </row>
    <row r="99" spans="2:25" x14ac:dyDescent="0.2">
      <c r="B99" s="25">
        <v>56</v>
      </c>
      <c r="C99" s="36">
        <f>IF(B98&lt;'Умови та класичний графік'!$J$14,EDATE(C98,1),"")</f>
        <v>45901</v>
      </c>
      <c r="D99" s="36">
        <f>IF(B98&lt;'Умови та класичний графік'!$J$14,C98,"")</f>
        <v>45870</v>
      </c>
      <c r="E99" s="26">
        <f>IF(B98&lt;'Умови та класичний графік'!$J$14,C99-1,"")</f>
        <v>45900</v>
      </c>
      <c r="F99" s="37">
        <f>IF(B98&lt;'Умови та класичний графік'!$J$14,E99-D99+1,"")</f>
        <v>31</v>
      </c>
      <c r="G99" s="96">
        <f>IF(B98&lt;'Умови та класичний графік'!$J$14,J99+K99+L99,"")</f>
        <v>110410.95890410959</v>
      </c>
      <c r="H99" s="97"/>
      <c r="I99" s="32">
        <f>IF(B98&lt;'Умови та класичний графік'!$J$14,I98-J99,"")</f>
        <v>10000000</v>
      </c>
      <c r="J99" s="32"/>
      <c r="K99" s="32">
        <f>IF(B98&lt;'Умови та класичний графік'!$J$14,((I98*'Умови та класичний графік'!$J$22)/365)*F99,"")</f>
        <v>110410.95890410959</v>
      </c>
      <c r="L99" s="30">
        <f>IF(B98&lt;'Умови та класичний графік'!$J$14,SUM(M99:V99),"")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графік'!$J$14,XIRR($G$43:G99,$C$43:C99,0),"")</f>
        <v>-0.176180505922921</v>
      </c>
      <c r="X99" s="42"/>
      <c r="Y99" s="35"/>
    </row>
    <row r="100" spans="2:25" x14ac:dyDescent="0.2">
      <c r="B100" s="25">
        <v>57</v>
      </c>
      <c r="C100" s="36">
        <f>IF(B99&lt;'Умови та класичний графік'!$J$14,EDATE(C99,1),"")</f>
        <v>45931</v>
      </c>
      <c r="D100" s="36">
        <f>IF(B99&lt;'Умови та класичний графік'!$J$14,C99,"")</f>
        <v>45901</v>
      </c>
      <c r="E100" s="26">
        <f>IF(B99&lt;'Умови та класичний графік'!$J$14,C100-1,"")</f>
        <v>45930</v>
      </c>
      <c r="F100" s="37">
        <f>IF(B99&lt;'Умови та класичний графік'!$J$14,E100-D100+1,"")</f>
        <v>30</v>
      </c>
      <c r="G100" s="96">
        <f>IF(B99&lt;'Умови та класичний графік'!$J$14,J100+K100+L100,"")</f>
        <v>106849.31506849316</v>
      </c>
      <c r="H100" s="97"/>
      <c r="I100" s="32">
        <f>IF(B99&lt;'Умови та класичний графік'!$J$14,I99-J100,"")</f>
        <v>10000000</v>
      </c>
      <c r="J100" s="32"/>
      <c r="K100" s="32">
        <f>IF(B99&lt;'Умови та класичний графік'!$J$14,((I99*'Умови та класичний графік'!$J$22)/365)*F100,"")</f>
        <v>106849.31506849316</v>
      </c>
      <c r="L100" s="30">
        <f>IF(B99&lt;'Умови та класичний графік'!$J$14,SUM(M100:V100),"")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графік'!$J$14,XIRR($G$43:G100,$C$43:C100,0),"")</f>
        <v>-0.16822212118308993</v>
      </c>
      <c r="X100" s="42"/>
      <c r="Y100" s="35"/>
    </row>
    <row r="101" spans="2:25" x14ac:dyDescent="0.2">
      <c r="B101" s="25">
        <v>58</v>
      </c>
      <c r="C101" s="36">
        <f>IF(B100&lt;'Умови та класичний графік'!$J$14,EDATE(C100,1),"")</f>
        <v>45962</v>
      </c>
      <c r="D101" s="36">
        <f>IF(B100&lt;'Умови та класичний графік'!$J$14,C100,"")</f>
        <v>45931</v>
      </c>
      <c r="E101" s="26">
        <f>IF(B100&lt;'Умови та класичний графік'!$J$14,C101-1,"")</f>
        <v>45961</v>
      </c>
      <c r="F101" s="37">
        <f>IF(B100&lt;'Умови та класичний графік'!$J$14,E101-D101+1,"")</f>
        <v>31</v>
      </c>
      <c r="G101" s="96">
        <f>IF(B100&lt;'Умови та класичний графік'!$J$14,J101+K101+L101,"")</f>
        <v>110410.95890410959</v>
      </c>
      <c r="H101" s="97"/>
      <c r="I101" s="32">
        <f>IF(B100&lt;'Умови та класичний графік'!$J$14,I100-J101,"")</f>
        <v>10000000</v>
      </c>
      <c r="J101" s="32"/>
      <c r="K101" s="32">
        <f>IF(B100&lt;'Умови та класичний графік'!$J$14,((I100*'Умови та класичний графік'!$J$22)/365)*F101,"")</f>
        <v>110410.95890410959</v>
      </c>
      <c r="L101" s="30">
        <f>IF(B100&lt;'Умови та класичний графік'!$J$14,SUM(M101:V101),"")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графік'!$J$14,XIRR($G$43:G101,$C$43:C101,0),"")</f>
        <v>-0.16027179789084944</v>
      </c>
      <c r="X101" s="42"/>
      <c r="Y101" s="35"/>
    </row>
    <row r="102" spans="2:25" x14ac:dyDescent="0.2">
      <c r="B102" s="25">
        <v>59</v>
      </c>
      <c r="C102" s="36">
        <f>IF(B101&lt;'Умови та класичний графік'!$J$14,EDATE(C101,1),"")</f>
        <v>45992</v>
      </c>
      <c r="D102" s="36">
        <f>IF(B101&lt;'Умови та класичний графік'!$J$14,C101,"")</f>
        <v>45962</v>
      </c>
      <c r="E102" s="26">
        <f>IF(B101&lt;'Умови та класичний графік'!$J$14,C102-1,"")</f>
        <v>45991</v>
      </c>
      <c r="F102" s="37">
        <f>IF(B101&lt;'Умови та класичний графік'!$J$14,E102-D102+1,"")</f>
        <v>30</v>
      </c>
      <c r="G102" s="96">
        <f>IF(B101&lt;'Умови та класичний графік'!$J$14,J102+K102+L102,"")</f>
        <v>106849.31506849316</v>
      </c>
      <c r="H102" s="97"/>
      <c r="I102" s="32">
        <f>IF(B101&lt;'Умови та класичний графік'!$J$14,I101-J102,"")</f>
        <v>10000000</v>
      </c>
      <c r="J102" s="32"/>
      <c r="K102" s="32">
        <f>IF(B101&lt;'Умови та класичний графік'!$J$14,((I101*'Умови та класичний графік'!$J$22)/365)*F102,"")</f>
        <v>106849.31506849316</v>
      </c>
      <c r="L102" s="30">
        <f>IF(B101&lt;'Умови та класичний графік'!$J$14,SUM(M102:V102),"")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графік'!$J$14,XIRR($G$43:G102,$C$43:C102,0),"")</f>
        <v>-0.1528354403107986</v>
      </c>
      <c r="X102" s="42"/>
      <c r="Y102" s="35"/>
    </row>
    <row r="103" spans="2:25" x14ac:dyDescent="0.2">
      <c r="B103" s="25">
        <v>60</v>
      </c>
      <c r="C103" s="36">
        <f>IF(B102&lt;'Умови та класичний графік'!$J$14,EDATE(C102,1),"")</f>
        <v>46023</v>
      </c>
      <c r="D103" s="36">
        <f>IF(B102&lt;'Умови та класичний графік'!$J$14,C102,"")</f>
        <v>45992</v>
      </c>
      <c r="E103" s="26">
        <f>IF(B102&lt;'Умови та класичний графік'!$J$14,C103-1,"")</f>
        <v>46022</v>
      </c>
      <c r="F103" s="37">
        <f>IF(B102&lt;'Умови та класичний графік'!$J$14,E103-D103+1,"")</f>
        <v>31</v>
      </c>
      <c r="G103" s="96">
        <f>IF(B102&lt;'Умови та класичний графік'!$J$14,J103+K103+L103,"")</f>
        <v>10110410.95890411</v>
      </c>
      <c r="H103" s="97"/>
      <c r="I103" s="32">
        <f>IF(B102&lt;'Умови та класичний графік'!$J$14,I102-J103,"")</f>
        <v>0</v>
      </c>
      <c r="J103" s="32">
        <v>10000000</v>
      </c>
      <c r="K103" s="32">
        <f>IF(B102&lt;'Умови та класичний графік'!$J$14,((I102*'Умови та класичний графік'!$J$22)/365)*F103,"")</f>
        <v>110410.95890410959</v>
      </c>
      <c r="L103" s="30">
        <f>IF(B102&lt;'Умови та класичний графік'!$J$14,SUM(M103:V103),"")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>
        <f>IF(B102&lt;'Умови та класичний графік'!$J$14,XIRR($G$43:G103,$C$43:C103,0),"")</f>
        <v>0.13958305175781255</v>
      </c>
      <c r="X103" s="42"/>
      <c r="Y103" s="35"/>
    </row>
    <row r="104" spans="2:25" hidden="1" x14ac:dyDescent="0.2">
      <c r="B104" s="25">
        <v>61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96" t="str">
        <f>IF(B103&lt;'Умови та класичний графік'!$J$14,J104+K104+L104,"")</f>
        <v/>
      </c>
      <c r="H104" s="97"/>
      <c r="I104" s="32" t="str">
        <f>IF(B103&lt;'Умови та класичний графік'!$J$14,I103-J104,"")</f>
        <v/>
      </c>
      <c r="J104" s="32" t="str">
        <f>IF(B103&lt;'Умови та класичний графік'!$J$14,J103,"")</f>
        <v/>
      </c>
      <c r="K104" s="32" t="str">
        <f>IF(B103&lt;'Умови та класичний графік'!$J$14,((I103*'Умови та класичний графік'!$J$22)/365)*F104,"")</f>
        <v/>
      </c>
      <c r="L104" s="30" t="str">
        <f>IF(B103&lt;'Умови та класичний графік'!$J$14,SUM(M104:V104),"")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графік'!$J$14,XIRR($G$43:G104,$C$43:C104,0),"")</f>
        <v/>
      </c>
      <c r="X104" s="42"/>
      <c r="Y104" s="35"/>
    </row>
    <row r="105" spans="2:25" hidden="1" x14ac:dyDescent="0.2">
      <c r="B105" s="25">
        <v>62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96" t="str">
        <f>IF(B104&lt;'Умови та класичний графік'!$J$14,J105+K105+L105,"")</f>
        <v/>
      </c>
      <c r="H105" s="97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графік'!$J$22)/365)*F105,"")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графік'!$J$14,XIRR($G$43:G105,$C$43:C105,0),"")</f>
        <v/>
      </c>
      <c r="X105" s="42"/>
      <c r="Y105" s="35"/>
    </row>
    <row r="106" spans="2:25" hidden="1" x14ac:dyDescent="0.2">
      <c r="B106" s="25">
        <v>63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96" t="str">
        <f>IF(B105&lt;'Умови та класичний графік'!$J$14,J106+K106+L106,"")</f>
        <v/>
      </c>
      <c r="H106" s="97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графік'!$J$22)/365)*F106,"")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графік'!$J$14,XIRR($G$43:G106,$C$43:C106,0),"")</f>
        <v/>
      </c>
      <c r="X106" s="42"/>
      <c r="Y106" s="35"/>
    </row>
    <row r="107" spans="2:25" hidden="1" x14ac:dyDescent="0.2">
      <c r="B107" s="25">
        <v>64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96" t="str">
        <f>IF(B106&lt;'Умови та класичний графік'!$J$14,J107+K107+L107,"")</f>
        <v/>
      </c>
      <c r="H107" s="97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графік'!$J$22)/365)*F107,"")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графік'!$J$14,XIRR($G$43:G107,$C$43:C107,0),"")</f>
        <v/>
      </c>
      <c r="X107" s="42"/>
      <c r="Y107" s="35"/>
    </row>
    <row r="108" spans="2:25" hidden="1" x14ac:dyDescent="0.2">
      <c r="B108" s="25">
        <v>65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96" t="str">
        <f>IF(B107&lt;'Умови та класичний графік'!$J$14,J108+K108+L108,"")</f>
        <v/>
      </c>
      <c r="H108" s="97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графік'!$J$22)/365)*F108,"")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графік'!$J$14,XIRR($G$43:G108,$C$43:C108,0),"")</f>
        <v/>
      </c>
      <c r="X108" s="42"/>
      <c r="Y108" s="35"/>
    </row>
    <row r="109" spans="2:25" hidden="1" x14ac:dyDescent="0.2">
      <c r="B109" s="25">
        <v>66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96" t="str">
        <f>IF(B108&lt;'Умови та класичний графік'!$J$14,J109+K109+L109,"")</f>
        <v/>
      </c>
      <c r="H109" s="97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графік'!$J$22)/365)*F109,"")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графік'!$J$14,XIRR($G$43:G109,$C$43:C109,0),"")</f>
        <v/>
      </c>
      <c r="X109" s="42"/>
      <c r="Y109" s="35"/>
    </row>
    <row r="110" spans="2:25" hidden="1" x14ac:dyDescent="0.2">
      <c r="B110" s="25">
        <v>67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96" t="str">
        <f>IF(B109&lt;'Умови та класичний графік'!$J$14,J110+K110+L110,"")</f>
        <v/>
      </c>
      <c r="H110" s="97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графік'!$J$22)/365)*F110,"")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графік'!$J$14,XIRR($G$43:G110,$C$43:C110,0),"")</f>
        <v/>
      </c>
      <c r="X110" s="42"/>
      <c r="Y110" s="35"/>
    </row>
    <row r="111" spans="2:25" hidden="1" x14ac:dyDescent="0.2">
      <c r="B111" s="25">
        <v>68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96" t="str">
        <f>IF(B110&lt;'Умови та класичний графік'!$J$14,J111+K111+L111,"")</f>
        <v/>
      </c>
      <c r="H111" s="97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графік'!$J$22)/365)*F111,"")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графік'!$J$14,XIRR($G$43:G111,$C$43:C111,0),"")</f>
        <v/>
      </c>
      <c r="X111" s="42"/>
      <c r="Y111" s="35"/>
    </row>
    <row r="112" spans="2:25" hidden="1" x14ac:dyDescent="0.2">
      <c r="B112" s="25">
        <v>69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96" t="str">
        <f>IF(B111&lt;'Умови та класичний графік'!$J$14,J112+K112+L112,"")</f>
        <v/>
      </c>
      <c r="H112" s="97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графік'!$J$22)/365)*F112,"")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графік'!$J$14,XIRR($G$43:G112,$C$43:C112,0),"")</f>
        <v/>
      </c>
      <c r="X112" s="42"/>
      <c r="Y112" s="35"/>
    </row>
    <row r="113" spans="2:25" hidden="1" x14ac:dyDescent="0.2">
      <c r="B113" s="25">
        <v>70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96" t="str">
        <f>IF(B112&lt;'Умови та класичний графік'!$J$14,J113+K113+L113,"")</f>
        <v/>
      </c>
      <c r="H113" s="97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графік'!$J$22)/365)*F113,"")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графік'!$J$14,XIRR($G$43:G113,$C$43:C113,0),"")</f>
        <v/>
      </c>
      <c r="X113" s="42"/>
      <c r="Y113" s="35"/>
    </row>
    <row r="114" spans="2:25" hidden="1" x14ac:dyDescent="0.2">
      <c r="B114" s="25">
        <v>71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96" t="str">
        <f>IF(B113&lt;'Умови та класичний графік'!$J$14,J114+K114+L114,"")</f>
        <v/>
      </c>
      <c r="H114" s="97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графік'!$J$22)/365)*F114,"")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графік'!$J$14,XIRR($G$43:G114,$C$43:C114,0),"")</f>
        <v/>
      </c>
      <c r="X114" s="42"/>
      <c r="Y114" s="35"/>
    </row>
    <row r="115" spans="2:25" hidden="1" x14ac:dyDescent="0.2">
      <c r="B115" s="25">
        <v>72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96" t="str">
        <f>IF(B114&lt;'Умови та класичний графік'!$J$14,J115+K115+L115,"")</f>
        <v/>
      </c>
      <c r="H115" s="97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графік'!$J$22)/365)*F115,"")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33" t="str">
        <f>IF(B114&lt;'Умови та класичний графік'!$J$14,('Умови та класичний графік'!$J$15*$N$20)+(I115*$N$21),"")</f>
        <v/>
      </c>
      <c r="V115" s="41"/>
      <c r="W115" s="43" t="str">
        <f>IF(B114&lt;'Умови та класичний графік'!$J$14,XIRR($G$43:G115,$C$43:C115,0),"")</f>
        <v/>
      </c>
      <c r="X115" s="42"/>
      <c r="Y115" s="35"/>
    </row>
    <row r="116" spans="2:25" hidden="1" x14ac:dyDescent="0.2">
      <c r="B116" s="25">
        <v>73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96" t="str">
        <f>IF(B115&lt;'Умови та класичний графік'!$J$14,J116+K116+L116,"")</f>
        <v/>
      </c>
      <c r="H116" s="97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графік'!$J$22)/365)*F116,"")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графік'!$J$14,XIRR($G$43:G116,$C$43:C116,0),"")</f>
        <v/>
      </c>
      <c r="X116" s="42"/>
      <c r="Y116" s="35"/>
    </row>
    <row r="117" spans="2:25" hidden="1" x14ac:dyDescent="0.2">
      <c r="B117" s="25">
        <v>74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96" t="str">
        <f>IF(B116&lt;'Умови та класичний графік'!$J$14,J117+K117+L117,"")</f>
        <v/>
      </c>
      <c r="H117" s="97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графік'!$J$22)/365)*F117,"")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графік'!$J$14,XIRR($G$43:G117,$C$43:C117,0),"")</f>
        <v/>
      </c>
      <c r="X117" s="42"/>
      <c r="Y117" s="35"/>
    </row>
    <row r="118" spans="2:25" hidden="1" x14ac:dyDescent="0.2">
      <c r="B118" s="25">
        <v>75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96" t="str">
        <f>IF(B117&lt;'Умови та класичний графік'!$J$14,J118+K118+L118,"")</f>
        <v/>
      </c>
      <c r="H118" s="97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графік'!$J$22)/365)*F118,"")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графік'!$J$14,XIRR($G$43:G118,$C$43:C118,0),"")</f>
        <v/>
      </c>
      <c r="X118" s="42"/>
      <c r="Y118" s="35"/>
    </row>
    <row r="119" spans="2:25" hidden="1" x14ac:dyDescent="0.2">
      <c r="B119" s="25">
        <v>76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96" t="str">
        <f>IF(B118&lt;'Умови та класичний графік'!$J$14,J119+K119+L119,"")</f>
        <v/>
      </c>
      <c r="H119" s="97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графік'!$J$22)/365)*F119,"")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графік'!$J$14,XIRR($G$43:G119,$C$43:C119,0),"")</f>
        <v/>
      </c>
      <c r="X119" s="42"/>
      <c r="Y119" s="35"/>
    </row>
    <row r="120" spans="2:25" hidden="1" x14ac:dyDescent="0.2">
      <c r="B120" s="25">
        <v>77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96" t="str">
        <f>IF(B119&lt;'Умови та класичний графік'!$J$14,J120+K120+L120,"")</f>
        <v/>
      </c>
      <c r="H120" s="97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графік'!$J$22)/365)*F120,"")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графік'!$J$14,XIRR($G$43:G120,$C$43:C120,0),"")</f>
        <v/>
      </c>
      <c r="X120" s="42"/>
      <c r="Y120" s="35"/>
    </row>
    <row r="121" spans="2:25" hidden="1" x14ac:dyDescent="0.2">
      <c r="B121" s="25">
        <v>78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96" t="str">
        <f>IF(B120&lt;'Умови та класичний графік'!$J$14,J121+K121+L121,"")</f>
        <v/>
      </c>
      <c r="H121" s="97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графік'!$J$22)/365)*F121,"")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графік'!$J$14,XIRR($G$43:G121,$C$43:C121,0),"")</f>
        <v/>
      </c>
      <c r="X121" s="42"/>
      <c r="Y121" s="35"/>
    </row>
    <row r="122" spans="2:25" hidden="1" x14ac:dyDescent="0.2">
      <c r="B122" s="25">
        <v>79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96" t="str">
        <f>IF(B121&lt;'Умови та класичний графік'!$J$14,J122+K122+L122,"")</f>
        <v/>
      </c>
      <c r="H122" s="97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графік'!$J$22)/365)*F122,"")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графік'!$J$14,XIRR($G$43:G122,$C$43:C122,0),"")</f>
        <v/>
      </c>
      <c r="X122" s="42"/>
      <c r="Y122" s="35"/>
    </row>
    <row r="123" spans="2:25" hidden="1" x14ac:dyDescent="0.2">
      <c r="B123" s="25">
        <v>80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96" t="str">
        <f>IF(B122&lt;'Умови та класичний графік'!$J$14,J123+K123+L123,"")</f>
        <v/>
      </c>
      <c r="H123" s="97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графік'!$J$22)/365)*F123,"")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графік'!$J$14,XIRR($G$43:G123,$C$43:C123,0),"")</f>
        <v/>
      </c>
      <c r="X123" s="42"/>
      <c r="Y123" s="35"/>
    </row>
    <row r="124" spans="2:25" hidden="1" x14ac:dyDescent="0.2">
      <c r="B124" s="25">
        <v>81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96" t="str">
        <f>IF(B123&lt;'Умови та класичний графік'!$J$14,J124+K124+L124,"")</f>
        <v/>
      </c>
      <c r="H124" s="97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графік'!$J$22)/365)*F124,"")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графік'!$J$14,XIRR($G$43:G124,$C$43:C124,0),"")</f>
        <v/>
      </c>
      <c r="X124" s="42"/>
      <c r="Y124" s="35"/>
    </row>
    <row r="125" spans="2:25" hidden="1" x14ac:dyDescent="0.2">
      <c r="B125" s="25">
        <v>82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96" t="str">
        <f>IF(B124&lt;'Умови та класичний графік'!$J$14,J125+K125+L125,"")</f>
        <v/>
      </c>
      <c r="H125" s="97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графік'!$J$22)/365)*F125,"")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графік'!$J$14,XIRR($G$43:G125,$C$43:C125,0),"")</f>
        <v/>
      </c>
      <c r="X125" s="42"/>
      <c r="Y125" s="35"/>
    </row>
    <row r="126" spans="2:25" hidden="1" x14ac:dyDescent="0.2">
      <c r="B126" s="25">
        <v>83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96" t="str">
        <f>IF(B125&lt;'Умови та класичний графік'!$J$14,J126+K126+L126,"")</f>
        <v/>
      </c>
      <c r="H126" s="97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графік'!$J$22)/365)*F126,"")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графік'!$J$14,XIRR($G$43:G126,$C$43:C126,0),"")</f>
        <v/>
      </c>
      <c r="X126" s="42"/>
      <c r="Y126" s="35"/>
    </row>
    <row r="127" spans="2:25" hidden="1" x14ac:dyDescent="0.2">
      <c r="B127" s="25">
        <v>84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96" t="str">
        <f>IF(B126&lt;'Умови та класичний графік'!$J$14,J127+K127+L127,"")</f>
        <v/>
      </c>
      <c r="H127" s="97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графік'!$J$22)/365)*F127,"")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33" t="str">
        <f>IF(B126&lt;'Умови та класичний графік'!$J$14,('Умови та класичний графік'!$J$15*$N$20)+(I127*$N$21),"")</f>
        <v/>
      </c>
      <c r="V127" s="41"/>
      <c r="W127" s="43" t="str">
        <f>IF(B126&lt;'Умови та класичний графік'!$J$14,XIRR($G$43:G127,$C$43:C127,0),"")</f>
        <v/>
      </c>
      <c r="X127" s="42"/>
      <c r="Y127" s="35"/>
    </row>
    <row r="128" spans="2:25" hidden="1" x14ac:dyDescent="0.2">
      <c r="B128" s="25">
        <v>85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96" t="str">
        <f>IF(B127&lt;'Умови та класичний графік'!$J$14,J128+K128+L128,"")</f>
        <v/>
      </c>
      <c r="H128" s="97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графік'!$J$22)/365)*F128,"")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графік'!$J$14,XIRR($G$43:G128,$C$43:C128,0),"")</f>
        <v/>
      </c>
      <c r="X128" s="42"/>
      <c r="Y128" s="35"/>
    </row>
    <row r="129" spans="2:25" hidden="1" x14ac:dyDescent="0.2">
      <c r="B129" s="25">
        <v>86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96" t="str">
        <f>IF(B128&lt;'Умови та класичний графік'!$J$14,J129+K129+L129,"")</f>
        <v/>
      </c>
      <c r="H129" s="97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графік'!$J$22)/365)*F129,"")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графік'!$J$14,XIRR($G$43:G129,$C$43:C129,0),"")</f>
        <v/>
      </c>
      <c r="X129" s="42"/>
      <c r="Y129" s="35"/>
    </row>
    <row r="130" spans="2:25" hidden="1" x14ac:dyDescent="0.2">
      <c r="B130" s="25">
        <v>87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96" t="str">
        <f>IF(B129&lt;'Умови та класичний графік'!$J$14,J130+K130+L130,"")</f>
        <v/>
      </c>
      <c r="H130" s="97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графік'!$J$22)/365)*F130,"")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графік'!$J$14,XIRR($G$43:G130,$C$43:C130,0),"")</f>
        <v/>
      </c>
      <c r="X130" s="42"/>
      <c r="Y130" s="35"/>
    </row>
    <row r="131" spans="2:25" hidden="1" x14ac:dyDescent="0.2">
      <c r="B131" s="25">
        <v>88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96" t="str">
        <f>IF(B130&lt;'Умови та класичний графік'!$J$14,J131+K131+L131,"")</f>
        <v/>
      </c>
      <c r="H131" s="97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графік'!$J$22)/365)*F131,"")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графік'!$J$14,XIRR($G$43:G131,$C$43:C131,0),"")</f>
        <v/>
      </c>
      <c r="X131" s="42"/>
      <c r="Y131" s="35"/>
    </row>
    <row r="132" spans="2:25" hidden="1" x14ac:dyDescent="0.2">
      <c r="B132" s="25">
        <v>89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96" t="str">
        <f>IF(B131&lt;'Умови та класичний графік'!$J$14,J132+K132+L132,"")</f>
        <v/>
      </c>
      <c r="H132" s="97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графік'!$J$22)/365)*F132,"")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графік'!$J$14,XIRR($G$43:G132,$C$43:C132,0),"")</f>
        <v/>
      </c>
      <c r="X132" s="42"/>
      <c r="Y132" s="35"/>
    </row>
    <row r="133" spans="2:25" hidden="1" x14ac:dyDescent="0.2">
      <c r="B133" s="25">
        <v>90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96" t="str">
        <f>IF(B132&lt;'Умови та класичний графік'!$J$14,J133+K133+L133,"")</f>
        <v/>
      </c>
      <c r="H133" s="97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графік'!$J$22)/365)*F133,"")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графік'!$J$14,XIRR($G$43:G133,$C$43:C133,0),"")</f>
        <v/>
      </c>
      <c r="X133" s="42"/>
      <c r="Y133" s="35"/>
    </row>
    <row r="134" spans="2:25" hidden="1" x14ac:dyDescent="0.2">
      <c r="B134" s="25">
        <v>91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96" t="str">
        <f>IF(B133&lt;'Умови та класичний графік'!$J$14,J134+K134+L134,"")</f>
        <v/>
      </c>
      <c r="H134" s="97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графік'!$J$22)/365)*F134,"")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графік'!$J$14,XIRR($G$43:G134,$C$43:C134,0),"")</f>
        <v/>
      </c>
      <c r="X134" s="42"/>
      <c r="Y134" s="35"/>
    </row>
    <row r="135" spans="2:25" hidden="1" x14ac:dyDescent="0.2">
      <c r="B135" s="25">
        <v>92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96" t="str">
        <f>IF(B134&lt;'Умови та класичний графік'!$J$14,J135+K135+L135,"")</f>
        <v/>
      </c>
      <c r="H135" s="97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графік'!$J$22)/365)*F135,"")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графік'!$J$14,XIRR($G$43:G135,$C$43:C135,0),"")</f>
        <v/>
      </c>
      <c r="X135" s="42"/>
      <c r="Y135" s="35"/>
    </row>
    <row r="136" spans="2:25" hidden="1" x14ac:dyDescent="0.2">
      <c r="B136" s="25">
        <v>93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96" t="str">
        <f>IF(B135&lt;'Умови та класичний графік'!$J$14,J136+K136+L136,"")</f>
        <v/>
      </c>
      <c r="H136" s="97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графік'!$J$22)/365)*F136,"")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графік'!$J$14,XIRR($G$43:G136,$C$43:C136,0),"")</f>
        <v/>
      </c>
      <c r="X136" s="42"/>
      <c r="Y136" s="35"/>
    </row>
    <row r="137" spans="2:25" hidden="1" x14ac:dyDescent="0.2">
      <c r="B137" s="25">
        <v>94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96" t="str">
        <f>IF(B136&lt;'Умови та класичний графік'!$J$14,J137+K137+L137,"")</f>
        <v/>
      </c>
      <c r="H137" s="97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графік'!$J$22)/365)*F137,"")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графік'!$J$14,XIRR($G$43:G137,$C$43:C137,0),"")</f>
        <v/>
      </c>
      <c r="X137" s="42"/>
      <c r="Y137" s="35"/>
    </row>
    <row r="138" spans="2:25" hidden="1" x14ac:dyDescent="0.2">
      <c r="B138" s="25">
        <v>95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96" t="str">
        <f>IF(B137&lt;'Умови та класичний графік'!$J$14,J138+K138+L138,"")</f>
        <v/>
      </c>
      <c r="H138" s="97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графік'!$J$22)/365)*F138,"")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графік'!$J$14,XIRR($G$43:G138,$C$43:C138,0),"")</f>
        <v/>
      </c>
      <c r="X138" s="42"/>
      <c r="Y138" s="35"/>
    </row>
    <row r="139" spans="2:25" hidden="1" x14ac:dyDescent="0.2">
      <c r="B139" s="25">
        <v>96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96" t="str">
        <f>IF(B138&lt;'Умови та класичний графік'!$J$14,J139+K139+L139,"")</f>
        <v/>
      </c>
      <c r="H139" s="97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графік'!$J$22)/365)*F139,"")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33" t="str">
        <f>IF(B138&lt;'Умови та класичний графік'!$J$14,('Умови та класичний графік'!$J$15*$N$20)+(I139*$N$21),"")</f>
        <v/>
      </c>
      <c r="V139" s="41"/>
      <c r="W139" s="43" t="str">
        <f>IF(B138&lt;'Умови та класичний графік'!$J$14,XIRR($G$43:G139,$C$43:C139,0),"")</f>
        <v/>
      </c>
      <c r="X139" s="42"/>
      <c r="Y139" s="35"/>
    </row>
    <row r="140" spans="2:25" hidden="1" x14ac:dyDescent="0.2">
      <c r="B140" s="25">
        <v>97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96" t="str">
        <f>IF(B139&lt;'Умови та класичний графік'!$J$14,J140+K140+L140,"")</f>
        <v/>
      </c>
      <c r="H140" s="97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графік'!$J$22)/365)*F140,"")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графік'!$J$14,XIRR($G$43:G140,$C$43:C140,0),"")</f>
        <v/>
      </c>
      <c r="X140" s="42"/>
      <c r="Y140" s="35"/>
    </row>
    <row r="141" spans="2:25" hidden="1" x14ac:dyDescent="0.2">
      <c r="B141" s="25">
        <v>98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96" t="str">
        <f>IF(B140&lt;'Умови та класичний графік'!$J$14,J141+K141+L141,"")</f>
        <v/>
      </c>
      <c r="H141" s="97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графік'!$J$22)/365)*F141,"")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графік'!$J$14,XIRR($G$43:G141,$C$43:C141,0),"")</f>
        <v/>
      </c>
      <c r="X141" s="42"/>
      <c r="Y141" s="35"/>
    </row>
    <row r="142" spans="2:25" hidden="1" x14ac:dyDescent="0.2">
      <c r="B142" s="25">
        <v>99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96" t="str">
        <f>IF(B141&lt;'Умови та класичний графік'!$J$14,J142+K142+L142,"")</f>
        <v/>
      </c>
      <c r="H142" s="97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графік'!$J$22)/365)*F142,"")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графік'!$J$14,XIRR($G$43:G142,$C$43:C142,0),"")</f>
        <v/>
      </c>
      <c r="X142" s="42"/>
      <c r="Y142" s="35"/>
    </row>
    <row r="143" spans="2:25" hidden="1" x14ac:dyDescent="0.2">
      <c r="B143" s="25">
        <v>100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96" t="str">
        <f>IF(B142&lt;'Умови та класичний графік'!$J$14,J143+K143+L143,"")</f>
        <v/>
      </c>
      <c r="H143" s="97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графік'!$J$22)/365)*F143,"")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графік'!$J$14,XIRR($G$43:G143,$C$43:C143,0),"")</f>
        <v/>
      </c>
      <c r="X143" s="42"/>
      <c r="Y143" s="35"/>
    </row>
    <row r="144" spans="2:25" hidden="1" x14ac:dyDescent="0.2">
      <c r="B144" s="25">
        <v>101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96" t="str">
        <f>IF(B143&lt;'Умови та класичний графік'!$J$14,J144+K144+L144,"")</f>
        <v/>
      </c>
      <c r="H144" s="97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графік'!$J$22)/365)*F144,"")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графік'!$J$14,XIRR($G$43:G144,$C$43:C144,0),"")</f>
        <v/>
      </c>
      <c r="X144" s="42"/>
      <c r="Y144" s="35"/>
    </row>
    <row r="145" spans="2:25" hidden="1" x14ac:dyDescent="0.2">
      <c r="B145" s="25">
        <v>102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96" t="str">
        <f>IF(B144&lt;'Умови та класичний графік'!$J$14,J145+K145+L145,"")</f>
        <v/>
      </c>
      <c r="H145" s="97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графік'!$J$22)/365)*F145,"")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графік'!$J$14,XIRR($G$43:G145,$C$43:C145,0),"")</f>
        <v/>
      </c>
      <c r="X145" s="42"/>
      <c r="Y145" s="35"/>
    </row>
    <row r="146" spans="2:25" hidden="1" x14ac:dyDescent="0.2">
      <c r="B146" s="25">
        <v>103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96" t="str">
        <f>IF(B145&lt;'Умови та класичний графік'!$J$14,J146+K146+L146,"")</f>
        <v/>
      </c>
      <c r="H146" s="97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графік'!$J$22)/365)*F146,"")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графік'!$J$14,XIRR($G$43:G146,$C$43:C146,0),"")</f>
        <v/>
      </c>
      <c r="X146" s="42"/>
      <c r="Y146" s="35"/>
    </row>
    <row r="147" spans="2:25" hidden="1" x14ac:dyDescent="0.2">
      <c r="B147" s="25">
        <v>104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96" t="str">
        <f>IF(B146&lt;'Умови та класичний графік'!$J$14,J147+K147+L147,"")</f>
        <v/>
      </c>
      <c r="H147" s="97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графік'!$J$22)/365)*F147,"")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графік'!$J$14,XIRR($G$43:G147,$C$43:C147,0),"")</f>
        <v/>
      </c>
      <c r="X147" s="42"/>
      <c r="Y147" s="35"/>
    </row>
    <row r="148" spans="2:25" hidden="1" x14ac:dyDescent="0.2">
      <c r="B148" s="25">
        <v>105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96" t="str">
        <f>IF(B147&lt;'Умови та класичний графік'!$J$14,J148+K148+L148,"")</f>
        <v/>
      </c>
      <c r="H148" s="97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графік'!$J$22)/365)*F148,"")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графік'!$J$14,XIRR($G$43:G148,$C$43:C148,0),"")</f>
        <v/>
      </c>
      <c r="X148" s="42"/>
      <c r="Y148" s="35"/>
    </row>
    <row r="149" spans="2:25" hidden="1" x14ac:dyDescent="0.2">
      <c r="B149" s="25">
        <v>106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96" t="str">
        <f>IF(B148&lt;'Умови та класичний графік'!$J$14,J149+K149+L149,"")</f>
        <v/>
      </c>
      <c r="H149" s="97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графік'!$J$22)/365)*F149,"")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графік'!$J$14,XIRR($G$43:G149,$C$43:C149,0),"")</f>
        <v/>
      </c>
      <c r="X149" s="42"/>
      <c r="Y149" s="35"/>
    </row>
    <row r="150" spans="2:25" hidden="1" x14ac:dyDescent="0.2">
      <c r="B150" s="25">
        <v>107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96" t="str">
        <f>IF(B149&lt;'Умови та класичний графік'!$J$14,J150+K150+L150,"")</f>
        <v/>
      </c>
      <c r="H150" s="97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графік'!$J$22)/365)*F150,"")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графік'!$J$14,XIRR($G$43:G150,$C$43:C150,0),"")</f>
        <v/>
      </c>
      <c r="X150" s="42"/>
      <c r="Y150" s="35"/>
    </row>
    <row r="151" spans="2:25" hidden="1" x14ac:dyDescent="0.2">
      <c r="B151" s="25">
        <v>108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96" t="str">
        <f>IF(B150&lt;'Умови та класичний графік'!$J$14,J151+K151+L151,"")</f>
        <v/>
      </c>
      <c r="H151" s="97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графік'!$J$22)/365)*F151,"")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33" t="str">
        <f>IF(B150&lt;'Умови та класичний графік'!$J$14,('Умови та класичний графік'!$J$15*$N$20)+(I151*$N$21),"")</f>
        <v/>
      </c>
      <c r="V151" s="41"/>
      <c r="W151" s="43" t="str">
        <f>IF(B150&lt;'Умови та класичний графік'!$J$14,XIRR($G$43:G151,$C$43:C151,0),"")</f>
        <v/>
      </c>
      <c r="X151" s="42"/>
      <c r="Y151" s="35"/>
    </row>
    <row r="152" spans="2:25" hidden="1" x14ac:dyDescent="0.2">
      <c r="B152" s="25">
        <v>109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96" t="str">
        <f>IF(B151&lt;'Умови та класичний графік'!$J$14,J152+K152+L152,"")</f>
        <v/>
      </c>
      <c r="H152" s="97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графік'!$J$22)/365)*F152,"")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графік'!$J$14,XIRR($G$43:G152,$C$43:C152,0),"")</f>
        <v/>
      </c>
      <c r="X152" s="42"/>
      <c r="Y152" s="35"/>
    </row>
    <row r="153" spans="2:25" hidden="1" x14ac:dyDescent="0.2">
      <c r="B153" s="25">
        <v>110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96" t="str">
        <f>IF(B152&lt;'Умови та класичний графік'!$J$14,J153+K153+L153,"")</f>
        <v/>
      </c>
      <c r="H153" s="97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графік'!$J$22)/365)*F153,"")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графік'!$J$14,XIRR($G$43:G153,$C$43:C153,0),"")</f>
        <v/>
      </c>
      <c r="X153" s="42"/>
      <c r="Y153" s="35"/>
    </row>
    <row r="154" spans="2:25" hidden="1" x14ac:dyDescent="0.2">
      <c r="B154" s="25">
        <v>111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96" t="str">
        <f>IF(B153&lt;'Умови та класичний графік'!$J$14,J154+K154+L154,"")</f>
        <v/>
      </c>
      <c r="H154" s="97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графік'!$J$22)/365)*F154,"")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графік'!$J$14,XIRR($G$43:G154,$C$43:C154,0),"")</f>
        <v/>
      </c>
      <c r="X154" s="42"/>
      <c r="Y154" s="35"/>
    </row>
    <row r="155" spans="2:25" hidden="1" x14ac:dyDescent="0.2">
      <c r="B155" s="25">
        <v>112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96" t="str">
        <f>IF(B154&lt;'Умови та класичний графік'!$J$14,J155+K155+L155,"")</f>
        <v/>
      </c>
      <c r="H155" s="97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графік'!$J$22)/365)*F155,"")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графік'!$J$14,XIRR($G$43:G155,$C$43:C155,0),"")</f>
        <v/>
      </c>
      <c r="X155" s="42"/>
      <c r="Y155" s="35"/>
    </row>
    <row r="156" spans="2:25" hidden="1" x14ac:dyDescent="0.2">
      <c r="B156" s="25">
        <v>113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96" t="str">
        <f>IF(B155&lt;'Умови та класичний графік'!$J$14,J156+K156+L156,"")</f>
        <v/>
      </c>
      <c r="H156" s="97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графік'!$J$22)/365)*F156,"")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графік'!$J$14,XIRR($G$43:G156,$C$43:C156,0),"")</f>
        <v/>
      </c>
      <c r="X156" s="42"/>
      <c r="Y156" s="35"/>
    </row>
    <row r="157" spans="2:25" hidden="1" x14ac:dyDescent="0.2">
      <c r="B157" s="25">
        <v>114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96" t="str">
        <f>IF(B156&lt;'Умови та класичний графік'!$J$14,J157+K157+L157,"")</f>
        <v/>
      </c>
      <c r="H157" s="97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графік'!$J$22)/365)*F157,"")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графік'!$J$14,XIRR($G$43:G157,$C$43:C157,0),"")</f>
        <v/>
      </c>
      <c r="X157" s="42"/>
      <c r="Y157" s="35"/>
    </row>
    <row r="158" spans="2:25" hidden="1" x14ac:dyDescent="0.2">
      <c r="B158" s="25">
        <v>115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96" t="str">
        <f>IF(B157&lt;'Умови та класичний графік'!$J$14,J158+K158+L158,"")</f>
        <v/>
      </c>
      <c r="H158" s="97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графік'!$J$22)/365)*F158,"")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графік'!$J$14,XIRR($G$43:G158,$C$43:C158,0),"")</f>
        <v/>
      </c>
      <c r="X158" s="42"/>
      <c r="Y158" s="35"/>
    </row>
    <row r="159" spans="2:25" hidden="1" x14ac:dyDescent="0.2">
      <c r="B159" s="25">
        <v>116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96" t="str">
        <f>IF(B158&lt;'Умови та класичний графік'!$J$14,J159+K159+L159,"")</f>
        <v/>
      </c>
      <c r="H159" s="97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графік'!$J$22)/365)*F159,"")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графік'!$J$14,XIRR($G$43:G159,$C$43:C159,0),"")</f>
        <v/>
      </c>
      <c r="X159" s="42"/>
      <c r="Y159" s="35"/>
    </row>
    <row r="160" spans="2:25" hidden="1" x14ac:dyDescent="0.2">
      <c r="B160" s="25">
        <v>117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96" t="str">
        <f>IF(B159&lt;'Умови та класичний графік'!$J$14,J160+K160+L160,"")</f>
        <v/>
      </c>
      <c r="H160" s="97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графік'!$J$22)/365)*F160,"")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графік'!$J$14,XIRR($G$43:G160,$C$43:C160,0),"")</f>
        <v/>
      </c>
      <c r="X160" s="42"/>
      <c r="Y160" s="35"/>
    </row>
    <row r="161" spans="2:25" hidden="1" x14ac:dyDescent="0.2">
      <c r="B161" s="25">
        <v>118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96" t="str">
        <f>IF(B160&lt;'Умови та класичний графік'!$J$14,J161+K161+L161,"")</f>
        <v/>
      </c>
      <c r="H161" s="97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графік'!$J$22)/365)*F161,"")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графік'!$J$14,XIRR($G$43:G161,$C$43:C161,0),"")</f>
        <v/>
      </c>
      <c r="X161" s="42"/>
      <c r="Y161" s="35"/>
    </row>
    <row r="162" spans="2:25" hidden="1" x14ac:dyDescent="0.2">
      <c r="B162" s="25">
        <v>119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96" t="str">
        <f>IF(B161&lt;'Умови та класичний графік'!$J$14,J162+K162+L162,"")</f>
        <v/>
      </c>
      <c r="H162" s="97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графік'!$J$22)/365)*F162,"")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графік'!$J$14,XIRR($G$43:G162,$C$43:C162,0),"")</f>
        <v/>
      </c>
      <c r="X162" s="42"/>
      <c r="Y162" s="35"/>
    </row>
    <row r="163" spans="2:25" hidden="1" x14ac:dyDescent="0.2">
      <c r="B163" s="25">
        <v>120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96" t="str">
        <f>IF(B162&lt;'Умови та класичний графік'!$J$14,J163+K163+L163,"")</f>
        <v/>
      </c>
      <c r="H163" s="97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графік'!$J$22)/365)*F163,"")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33" t="str">
        <f>IF(B162&lt;'Умови та класичний графік'!$J$14,('Умови та класичний графік'!$J$15*$N$20)+(I163*$N$21),"")</f>
        <v/>
      </c>
      <c r="V163" s="41"/>
      <c r="W163" s="43" t="str">
        <f>IF(B162&lt;'Умови та класичний графік'!$J$14,XIRR($G$43:G163,$C$43:C163,0),"")</f>
        <v/>
      </c>
      <c r="X163" s="42"/>
      <c r="Y163" s="35"/>
    </row>
    <row r="164" spans="2:25" hidden="1" x14ac:dyDescent="0.2">
      <c r="B164" s="25">
        <v>121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96" t="str">
        <f>IF(B163&lt;'Умови та класичний графік'!$J$14,J164+K164+L164,"")</f>
        <v/>
      </c>
      <c r="H164" s="97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графік'!$J$22)/365)*F164,"")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графік'!$J$14,XIRR($G$43:G164,$C$43:C164,0),"")</f>
        <v/>
      </c>
      <c r="X164" s="42"/>
      <c r="Y164" s="35"/>
    </row>
    <row r="165" spans="2:25" hidden="1" x14ac:dyDescent="0.2">
      <c r="B165" s="25">
        <v>122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96" t="str">
        <f>IF(B164&lt;'Умови та класичний графік'!$J$14,J165+K165+L165,"")</f>
        <v/>
      </c>
      <c r="H165" s="97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графік'!$J$22)/365)*F165,"")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графік'!$J$14,XIRR($G$43:G165,$C$43:C165,0),"")</f>
        <v/>
      </c>
      <c r="X165" s="42"/>
      <c r="Y165" s="35"/>
    </row>
    <row r="166" spans="2:25" hidden="1" x14ac:dyDescent="0.2">
      <c r="B166" s="25">
        <v>123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96" t="str">
        <f>IF(B165&lt;'Умови та класичний графік'!$J$14,J166+K166+L166,"")</f>
        <v/>
      </c>
      <c r="H166" s="97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графік'!$J$22)/365)*F166,"")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графік'!$J$14,XIRR($G$43:G166,$C$43:C166,0),"")</f>
        <v/>
      </c>
      <c r="X166" s="42"/>
      <c r="Y166" s="35"/>
    </row>
    <row r="167" spans="2:25" hidden="1" x14ac:dyDescent="0.2">
      <c r="B167" s="25">
        <v>124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96" t="str">
        <f>IF(B166&lt;'Умови та класичний графік'!$J$14,J167+K167+L167,"")</f>
        <v/>
      </c>
      <c r="H167" s="97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графік'!$J$22)/365)*F167,"")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графік'!$J$14,XIRR($G$43:G167,$C$43:C167,0),"")</f>
        <v/>
      </c>
      <c r="X167" s="42"/>
      <c r="Y167" s="35"/>
    </row>
    <row r="168" spans="2:25" hidden="1" x14ac:dyDescent="0.2">
      <c r="B168" s="25">
        <v>125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96" t="str">
        <f>IF(B167&lt;'Умови та класичний графік'!$J$14,J168+K168+L168,"")</f>
        <v/>
      </c>
      <c r="H168" s="97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графік'!$J$22)/365)*F168,"")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графік'!$J$14,XIRR($G$43:G168,$C$43:C168,0),"")</f>
        <v/>
      </c>
      <c r="X168" s="42"/>
      <c r="Y168" s="35"/>
    </row>
    <row r="169" spans="2:25" hidden="1" x14ac:dyDescent="0.2">
      <c r="B169" s="25">
        <v>126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96" t="str">
        <f>IF(B168&lt;'Умови та класичний графік'!$J$14,J169+K169+L169,"")</f>
        <v/>
      </c>
      <c r="H169" s="97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графік'!$J$22)/365)*F169,"")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графік'!$J$14,XIRR($G$43:G169,$C$43:C169,0),"")</f>
        <v/>
      </c>
      <c r="X169" s="42"/>
      <c r="Y169" s="35"/>
    </row>
    <row r="170" spans="2:25" hidden="1" x14ac:dyDescent="0.2">
      <c r="B170" s="25">
        <v>127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96" t="str">
        <f>IF(B169&lt;'Умови та класичний графік'!$J$14,J170+K170+L170,"")</f>
        <v/>
      </c>
      <c r="H170" s="97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графік'!$J$22)/365)*F170,"")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графік'!$J$14,XIRR($G$43:G170,$C$43:C170,0),"")</f>
        <v/>
      </c>
      <c r="X170" s="42"/>
      <c r="Y170" s="35"/>
    </row>
    <row r="171" spans="2:25" hidden="1" x14ac:dyDescent="0.2">
      <c r="B171" s="25">
        <v>128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96" t="str">
        <f>IF(B170&lt;'Умови та класичний графік'!$J$14,J171+K171+L171,"")</f>
        <v/>
      </c>
      <c r="H171" s="97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графік'!$J$22)/365)*F171,"")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графік'!$J$14,XIRR($G$43:G171,$C$43:C171,0),"")</f>
        <v/>
      </c>
      <c r="X171" s="42"/>
      <c r="Y171" s="35"/>
    </row>
    <row r="172" spans="2:25" hidden="1" x14ac:dyDescent="0.2">
      <c r="B172" s="25">
        <v>129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96" t="str">
        <f>IF(B171&lt;'Умови та класичний графік'!$J$14,J172+K172+L172,"")</f>
        <v/>
      </c>
      <c r="H172" s="97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графік'!$J$22)/365)*F172,"")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графік'!$J$14,XIRR($G$43:G172,$C$43:C172,0),"")</f>
        <v/>
      </c>
      <c r="X172" s="42"/>
      <c r="Y172" s="35"/>
    </row>
    <row r="173" spans="2:25" hidden="1" x14ac:dyDescent="0.2">
      <c r="B173" s="25">
        <v>130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96" t="str">
        <f>IF(B172&lt;'Умови та класичний графік'!$J$14,J173+K173+L173,"")</f>
        <v/>
      </c>
      <c r="H173" s="97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графік'!$J$22)/365)*F173,"")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графік'!$J$14,XIRR($G$43:G173,$C$43:C173,0),"")</f>
        <v/>
      </c>
      <c r="X173" s="42"/>
      <c r="Y173" s="35"/>
    </row>
    <row r="174" spans="2:25" hidden="1" x14ac:dyDescent="0.2">
      <c r="B174" s="25">
        <v>131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96" t="str">
        <f>IF(B173&lt;'Умови та класичний графік'!$J$14,J174+K174+L174,"")</f>
        <v/>
      </c>
      <c r="H174" s="97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графік'!$J$22)/365)*F174,"")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графік'!$J$14,XIRR($G$43:G174,$C$43:C174,0),"")</f>
        <v/>
      </c>
      <c r="X174" s="42"/>
      <c r="Y174" s="35"/>
    </row>
    <row r="175" spans="2:25" hidden="1" x14ac:dyDescent="0.2">
      <c r="B175" s="25">
        <v>132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96" t="str">
        <f>IF(B174&lt;'Умови та класичний графік'!$J$14,J175+K175+L175,"")</f>
        <v/>
      </c>
      <c r="H175" s="97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графік'!$J$22)/365)*F175,"")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33" t="str">
        <f>IF(B174&lt;'Умови та класичний графік'!$J$14,('Умови та класичний графік'!$J$15*$N$20)+(I175*$N$21),"")</f>
        <v/>
      </c>
      <c r="V175" s="41"/>
      <c r="W175" s="43" t="str">
        <f>IF(B174&lt;'Умови та класичний графік'!$J$14,XIRR($G$43:G175,$C$43:C175,0),"")</f>
        <v/>
      </c>
      <c r="X175" s="42"/>
      <c r="Y175" s="35"/>
    </row>
    <row r="176" spans="2:25" hidden="1" x14ac:dyDescent="0.2">
      <c r="B176" s="25">
        <v>133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96" t="str">
        <f>IF(B175&lt;'Умови та класичний графік'!$J$14,J176+K176+L176,"")</f>
        <v/>
      </c>
      <c r="H176" s="97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графік'!$J$22)/365)*F176,"")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графік'!$J$14,XIRR($G$43:G176,$C$43:C176,0),"")</f>
        <v/>
      </c>
      <c r="X176" s="42"/>
      <c r="Y176" s="35"/>
    </row>
    <row r="177" spans="2:25" hidden="1" x14ac:dyDescent="0.2">
      <c r="B177" s="25">
        <v>134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96" t="str">
        <f>IF(B176&lt;'Умови та класичний графік'!$J$14,J177+K177+L177,"")</f>
        <v/>
      </c>
      <c r="H177" s="97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графік'!$J$22)/365)*F177,"")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графік'!$J$14,XIRR($G$43:G177,$C$43:C177,0),"")</f>
        <v/>
      </c>
      <c r="X177" s="42"/>
      <c r="Y177" s="35"/>
    </row>
    <row r="178" spans="2:25" hidden="1" x14ac:dyDescent="0.2">
      <c r="B178" s="25">
        <v>135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96" t="str">
        <f>IF(B177&lt;'Умови та класичний графік'!$J$14,J178+K178+L178,"")</f>
        <v/>
      </c>
      <c r="H178" s="97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графік'!$J$22)/365)*F178,"")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графік'!$J$14,XIRR($G$43:G178,$C$43:C178,0),"")</f>
        <v/>
      </c>
      <c r="X178" s="42"/>
      <c r="Y178" s="35"/>
    </row>
    <row r="179" spans="2:25" hidden="1" x14ac:dyDescent="0.2">
      <c r="B179" s="25">
        <v>136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96" t="str">
        <f>IF(B178&lt;'Умови та класичний графік'!$J$14,J179+K179+L179,"")</f>
        <v/>
      </c>
      <c r="H179" s="97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графік'!$J$22)/365)*F179,"")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графік'!$J$14,XIRR($G$43:G179,$C$43:C179,0),"")</f>
        <v/>
      </c>
      <c r="X179" s="42"/>
      <c r="Y179" s="35"/>
    </row>
    <row r="180" spans="2:25" hidden="1" x14ac:dyDescent="0.2">
      <c r="B180" s="25">
        <v>137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96" t="str">
        <f>IF(B179&lt;'Умови та класичний графік'!$J$14,J180+K180+L180,"")</f>
        <v/>
      </c>
      <c r="H180" s="97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графік'!$J$22)/365)*F180,"")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графік'!$J$14,XIRR($G$43:G180,$C$43:C180,0),"")</f>
        <v/>
      </c>
      <c r="X180" s="42"/>
      <c r="Y180" s="35"/>
    </row>
    <row r="181" spans="2:25" hidden="1" x14ac:dyDescent="0.2">
      <c r="B181" s="25">
        <v>138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96" t="str">
        <f>IF(B180&lt;'Умови та класичний графік'!$J$14,J181+K181+L181,"")</f>
        <v/>
      </c>
      <c r="H181" s="97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графік'!$J$22)/365)*F181,"")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графік'!$J$14,XIRR($G$43:G181,$C$43:C181,0),"")</f>
        <v/>
      </c>
      <c r="X181" s="42"/>
      <c r="Y181" s="35"/>
    </row>
    <row r="182" spans="2:25" hidden="1" x14ac:dyDescent="0.2">
      <c r="B182" s="25">
        <v>139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96" t="str">
        <f>IF(B181&lt;'Умови та класичний графік'!$J$14,J182+K182+L182,"")</f>
        <v/>
      </c>
      <c r="H182" s="97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графік'!$J$22)/365)*F182,"")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графік'!$J$14,XIRR($G$43:G182,$C$43:C182,0),"")</f>
        <v/>
      </c>
      <c r="X182" s="42"/>
      <c r="Y182" s="35"/>
    </row>
    <row r="183" spans="2:25" hidden="1" x14ac:dyDescent="0.2">
      <c r="B183" s="25">
        <v>140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96" t="str">
        <f>IF(B182&lt;'Умови та класичний графік'!$J$14,J183+K183+L183,"")</f>
        <v/>
      </c>
      <c r="H183" s="97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графік'!$J$22)/365)*F183,"")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графік'!$J$14,XIRR($G$43:G183,$C$43:C183,0),"")</f>
        <v/>
      </c>
      <c r="X183" s="42"/>
      <c r="Y183" s="35"/>
    </row>
    <row r="184" spans="2:25" hidden="1" x14ac:dyDescent="0.2">
      <c r="B184" s="25">
        <v>141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96" t="str">
        <f>IF(B183&lt;'Умови та класичний графік'!$J$14,J184+K184+L184,"")</f>
        <v/>
      </c>
      <c r="H184" s="97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графік'!$J$22)/365)*F184,"")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графік'!$J$14,XIRR($G$43:G184,$C$43:C184,0),"")</f>
        <v/>
      </c>
      <c r="X184" s="42"/>
      <c r="Y184" s="35"/>
    </row>
    <row r="185" spans="2:25" hidden="1" x14ac:dyDescent="0.2">
      <c r="B185" s="25">
        <v>142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96" t="str">
        <f>IF(B184&lt;'Умови та класичний графік'!$J$14,J185+K185+L185,"")</f>
        <v/>
      </c>
      <c r="H185" s="97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графік'!$J$22)/365)*F185,"")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графік'!$J$14,XIRR($G$43:G185,$C$43:C185,0),"")</f>
        <v/>
      </c>
      <c r="X185" s="42"/>
      <c r="Y185" s="35"/>
    </row>
    <row r="186" spans="2:25" hidden="1" x14ac:dyDescent="0.2">
      <c r="B186" s="25">
        <v>143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96" t="str">
        <f>IF(B185&lt;'Умови та класичний графік'!$J$14,J186+K186+L186,"")</f>
        <v/>
      </c>
      <c r="H186" s="97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графік'!$J$22)/365)*F186,"")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графік'!$J$14,XIRR($G$43:G186,$C$43:C186,0),"")</f>
        <v/>
      </c>
      <c r="X186" s="42"/>
      <c r="Y186" s="35"/>
    </row>
    <row r="187" spans="2:25" hidden="1" x14ac:dyDescent="0.2">
      <c r="B187" s="25">
        <v>144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96" t="str">
        <f>IF(B186&lt;'Умови та класичний графік'!$J$14,J187+K187+L187,"")</f>
        <v/>
      </c>
      <c r="H187" s="97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графік'!$J$22)/365)*F187,"")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33" t="str">
        <f>IF(B186&lt;'Умови та класичний графік'!$J$14,('Умови та класичний графік'!$J$15*$N$20)+(I187*$N$21),"")</f>
        <v/>
      </c>
      <c r="V187" s="41"/>
      <c r="W187" s="43" t="str">
        <f>IF(B186&lt;'Умови та класичний графік'!$J$14,XIRR($G$43:G187,$C$43:C187,0),"")</f>
        <v/>
      </c>
      <c r="X187" s="42"/>
      <c r="Y187" s="35"/>
    </row>
    <row r="188" spans="2:25" hidden="1" x14ac:dyDescent="0.2">
      <c r="B188" s="25">
        <v>145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96" t="str">
        <f>IF(B187&lt;'Умови та класичний графік'!$J$14,J188+K188+L188,"")</f>
        <v/>
      </c>
      <c r="H188" s="97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графік'!$J$22)/365)*F188,"")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графік'!$J$14,XIRR($G$43:G188,$C$43:C188,0),"")</f>
        <v/>
      </c>
      <c r="X188" s="42"/>
      <c r="Y188" s="35"/>
    </row>
    <row r="189" spans="2:25" hidden="1" x14ac:dyDescent="0.2">
      <c r="B189" s="25">
        <v>146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96" t="str">
        <f>IF(B188&lt;'Умови та класичний графік'!$J$14,J189+K189+L189,"")</f>
        <v/>
      </c>
      <c r="H189" s="97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графік'!$J$22)/365)*F189,"")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графік'!$J$14,XIRR($G$43:G189,$C$43:C189,0),"")</f>
        <v/>
      </c>
      <c r="X189" s="42"/>
      <c r="Y189" s="35"/>
    </row>
    <row r="190" spans="2:25" hidden="1" x14ac:dyDescent="0.2">
      <c r="B190" s="25">
        <v>147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96" t="str">
        <f>IF(B189&lt;'Умови та класичний графік'!$J$14,J190+K190+L190,"")</f>
        <v/>
      </c>
      <c r="H190" s="97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графік'!$J$22)/365)*F190,"")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графік'!$J$14,XIRR($G$43:G190,$C$43:C190,0),"")</f>
        <v/>
      </c>
      <c r="X190" s="42"/>
      <c r="Y190" s="35"/>
    </row>
    <row r="191" spans="2:25" hidden="1" x14ac:dyDescent="0.2">
      <c r="B191" s="25">
        <v>148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96" t="str">
        <f>IF(B190&lt;'Умови та класичний графік'!$J$14,J191+K191+L191,"")</f>
        <v/>
      </c>
      <c r="H191" s="97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графік'!$J$22)/365)*F191,"")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графік'!$J$14,XIRR($G$43:G191,$C$43:C191,0),"")</f>
        <v/>
      </c>
      <c r="X191" s="42"/>
      <c r="Y191" s="35"/>
    </row>
    <row r="192" spans="2:25" hidden="1" x14ac:dyDescent="0.2">
      <c r="B192" s="25">
        <v>149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96" t="str">
        <f>IF(B191&lt;'Умови та класичний графік'!$J$14,J192+K192+L192,"")</f>
        <v/>
      </c>
      <c r="H192" s="97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графік'!$J$22)/365)*F192,"")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графік'!$J$14,XIRR($G$43:G192,$C$43:C192,0),"")</f>
        <v/>
      </c>
      <c r="X192" s="42"/>
      <c r="Y192" s="35"/>
    </row>
    <row r="193" spans="2:25" hidden="1" x14ac:dyDescent="0.2">
      <c r="B193" s="25">
        <v>150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96" t="str">
        <f>IF(B192&lt;'Умови та класичний графік'!$J$14,J193+K193+L193,"")</f>
        <v/>
      </c>
      <c r="H193" s="97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графік'!$J$22)/365)*F193,"")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графік'!$J$14,XIRR($G$43:G193,$C$43:C193,0),"")</f>
        <v/>
      </c>
      <c r="X193" s="42"/>
      <c r="Y193" s="35"/>
    </row>
    <row r="194" spans="2:25" hidden="1" x14ac:dyDescent="0.2">
      <c r="B194" s="25">
        <v>151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96" t="str">
        <f>IF(B193&lt;'Умови та класичний графік'!$J$14,J194+K194+L194,"")</f>
        <v/>
      </c>
      <c r="H194" s="97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графік'!$J$22)/365)*F194,"")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графік'!$J$14,XIRR($G$43:G194,$C$43:C194,0),"")</f>
        <v/>
      </c>
      <c r="X194" s="42"/>
      <c r="Y194" s="35"/>
    </row>
    <row r="195" spans="2:25" hidden="1" x14ac:dyDescent="0.2">
      <c r="B195" s="25">
        <v>152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96" t="str">
        <f>IF(B194&lt;'Умови та класичний графік'!$J$14,J195+K195+L195,"")</f>
        <v/>
      </c>
      <c r="H195" s="97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графік'!$J$22)/365)*F195,"")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графік'!$J$14,XIRR($G$43:G195,$C$43:C195,0),"")</f>
        <v/>
      </c>
      <c r="X195" s="42"/>
      <c r="Y195" s="35"/>
    </row>
    <row r="196" spans="2:25" hidden="1" x14ac:dyDescent="0.2">
      <c r="B196" s="25">
        <v>153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96" t="str">
        <f>IF(B195&lt;'Умови та класичний графік'!$J$14,J196+K196+L196,"")</f>
        <v/>
      </c>
      <c r="H196" s="97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графік'!$J$22)/365)*F196,"")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графік'!$J$14,XIRR($G$43:G196,$C$43:C196,0),"")</f>
        <v/>
      </c>
      <c r="X196" s="42"/>
      <c r="Y196" s="35"/>
    </row>
    <row r="197" spans="2:25" hidden="1" x14ac:dyDescent="0.2">
      <c r="B197" s="25">
        <v>154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96" t="str">
        <f>IF(B196&lt;'Умови та класичний графік'!$J$14,J197+K197+L197,"")</f>
        <v/>
      </c>
      <c r="H197" s="97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графік'!$J$22)/365)*F197,"")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графік'!$J$14,XIRR($G$43:G197,$C$43:C197,0),"")</f>
        <v/>
      </c>
      <c r="X197" s="42"/>
      <c r="Y197" s="35"/>
    </row>
    <row r="198" spans="2:25" hidden="1" x14ac:dyDescent="0.2">
      <c r="B198" s="25">
        <v>155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96" t="str">
        <f>IF(B197&lt;'Умови та класичний графік'!$J$14,J198+K198+L198,"")</f>
        <v/>
      </c>
      <c r="H198" s="97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графік'!$J$22)/365)*F198,"")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графік'!$J$14,XIRR($G$43:G198,$C$43:C198,0),"")</f>
        <v/>
      </c>
      <c r="X198" s="42"/>
      <c r="Y198" s="35"/>
    </row>
    <row r="199" spans="2:25" hidden="1" x14ac:dyDescent="0.2">
      <c r="B199" s="25">
        <v>156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96" t="str">
        <f>IF(B198&lt;'Умови та класичний графік'!$J$14,J199+K199+L199,"")</f>
        <v/>
      </c>
      <c r="H199" s="97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графік'!$J$22)/365)*F199,"")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33" t="str">
        <f>IF(B198&lt;'Умови та класичний графік'!$J$14,('Умови та класичний графік'!$J$15*$N$20)+(I199*$N$21),"")</f>
        <v/>
      </c>
      <c r="V199" s="41"/>
      <c r="W199" s="43" t="str">
        <f>IF(B198&lt;'Умови та класичний графік'!$J$14,XIRR($G$43:G199,$C$43:C199,0),"")</f>
        <v/>
      </c>
      <c r="X199" s="42"/>
      <c r="Y199" s="35"/>
    </row>
    <row r="200" spans="2:25" hidden="1" x14ac:dyDescent="0.2">
      <c r="B200" s="25">
        <v>157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96" t="str">
        <f>IF(B199&lt;'Умови та класичний графік'!$J$14,J200+K200+L200,"")</f>
        <v/>
      </c>
      <c r="H200" s="97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графік'!$J$22)/365)*F200,"")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графік'!$J$14,XIRR($G$43:G200,$C$43:C200,0),"")</f>
        <v/>
      </c>
      <c r="X200" s="42"/>
      <c r="Y200" s="35"/>
    </row>
    <row r="201" spans="2:25" hidden="1" x14ac:dyDescent="0.2">
      <c r="B201" s="25">
        <v>158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96" t="str">
        <f>IF(B200&lt;'Умови та класичний графік'!$J$14,J201+K201+L201,"")</f>
        <v/>
      </c>
      <c r="H201" s="97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графік'!$J$22)/365)*F201,"")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графік'!$J$14,XIRR($G$43:G201,$C$43:C201,0),"")</f>
        <v/>
      </c>
      <c r="X201" s="42"/>
      <c r="Y201" s="35"/>
    </row>
    <row r="202" spans="2:25" hidden="1" x14ac:dyDescent="0.2">
      <c r="B202" s="25">
        <v>159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96" t="str">
        <f>IF(B201&lt;'Умови та класичний графік'!$J$14,J202+K202+L202,"")</f>
        <v/>
      </c>
      <c r="H202" s="97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графік'!$J$22)/365)*F202,"")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графік'!$J$14,XIRR($G$43:G202,$C$43:C202,0),"")</f>
        <v/>
      </c>
      <c r="X202" s="42"/>
      <c r="Y202" s="35"/>
    </row>
    <row r="203" spans="2:25" hidden="1" x14ac:dyDescent="0.2">
      <c r="B203" s="25">
        <v>160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96" t="str">
        <f>IF(B202&lt;'Умови та класичний графік'!$J$14,J203+K203+L203,"")</f>
        <v/>
      </c>
      <c r="H203" s="97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графік'!$J$22)/365)*F203,"")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графік'!$J$14,XIRR($G$43:G203,$C$43:C203,0),"")</f>
        <v/>
      </c>
      <c r="X203" s="42"/>
      <c r="Y203" s="35"/>
    </row>
    <row r="204" spans="2:25" hidden="1" x14ac:dyDescent="0.2">
      <c r="B204" s="25">
        <v>161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96" t="str">
        <f>IF(B203&lt;'Умови та класичний графік'!$J$14,J204+K204+L204,"")</f>
        <v/>
      </c>
      <c r="H204" s="97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графік'!$J$22)/365)*F204,"")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графік'!$J$14,XIRR($G$43:G204,$C$43:C204,0),"")</f>
        <v/>
      </c>
      <c r="X204" s="42"/>
      <c r="Y204" s="35"/>
    </row>
    <row r="205" spans="2:25" hidden="1" x14ac:dyDescent="0.2">
      <c r="B205" s="25">
        <v>162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96" t="str">
        <f>IF(B204&lt;'Умови та класичний графік'!$J$14,J205+K205+L205,"")</f>
        <v/>
      </c>
      <c r="H205" s="97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графік'!$J$22)/365)*F205,"")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графік'!$J$14,XIRR($G$43:G205,$C$43:C205,0),"")</f>
        <v/>
      </c>
      <c r="X205" s="42"/>
      <c r="Y205" s="35"/>
    </row>
    <row r="206" spans="2:25" hidden="1" x14ac:dyDescent="0.2">
      <c r="B206" s="25">
        <v>163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96" t="str">
        <f>IF(B205&lt;'Умови та класичний графік'!$J$14,J206+K206+L206,"")</f>
        <v/>
      </c>
      <c r="H206" s="97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графік'!$J$22)/365)*F206,"")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графік'!$J$14,XIRR($G$43:G206,$C$43:C206,0),"")</f>
        <v/>
      </c>
      <c r="X206" s="42"/>
      <c r="Y206" s="35"/>
    </row>
    <row r="207" spans="2:25" hidden="1" x14ac:dyDescent="0.2">
      <c r="B207" s="25">
        <v>164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96" t="str">
        <f>IF(B206&lt;'Умови та класичний графік'!$J$14,J207+K207+L207,"")</f>
        <v/>
      </c>
      <c r="H207" s="97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графік'!$J$22)/365)*F207,"")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графік'!$J$14,XIRR($G$43:G207,$C$43:C207,0),"")</f>
        <v/>
      </c>
      <c r="X207" s="42"/>
      <c r="Y207" s="35"/>
    </row>
    <row r="208" spans="2:25" hidden="1" x14ac:dyDescent="0.2">
      <c r="B208" s="25">
        <v>165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96" t="str">
        <f>IF(B207&lt;'Умови та класичний графік'!$J$14,J208+K208+L208,"")</f>
        <v/>
      </c>
      <c r="H208" s="97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графік'!$J$22)/365)*F208,"")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графік'!$J$14,XIRR($G$43:G208,$C$43:C208,0),"")</f>
        <v/>
      </c>
      <c r="X208" s="42"/>
      <c r="Y208" s="35"/>
    </row>
    <row r="209" spans="2:25" hidden="1" x14ac:dyDescent="0.2">
      <c r="B209" s="25">
        <v>166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96" t="str">
        <f>IF(B208&lt;'Умови та класичний графік'!$J$14,J209+K209+L209,"")</f>
        <v/>
      </c>
      <c r="H209" s="97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графік'!$J$22)/365)*F209,"")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графік'!$J$14,XIRR($G$43:G209,$C$43:C209,0),"")</f>
        <v/>
      </c>
      <c r="X209" s="42"/>
      <c r="Y209" s="35"/>
    </row>
    <row r="210" spans="2:25" hidden="1" x14ac:dyDescent="0.2">
      <c r="B210" s="25">
        <v>167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96" t="str">
        <f>IF(B209&lt;'Умови та класичний графік'!$J$14,J210+K210+L210,"")</f>
        <v/>
      </c>
      <c r="H210" s="97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графік'!$J$22)/365)*F210,"")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графік'!$J$14,XIRR($G$43:G210,$C$43:C210,0),"")</f>
        <v/>
      </c>
      <c r="X210" s="42"/>
      <c r="Y210" s="35"/>
    </row>
    <row r="211" spans="2:25" hidden="1" x14ac:dyDescent="0.2">
      <c r="B211" s="25">
        <v>168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96" t="str">
        <f>IF(B210&lt;'Умови та класичний графік'!$J$14,J211+K211+L211,"")</f>
        <v/>
      </c>
      <c r="H211" s="97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графік'!$J$22)/365)*F211,"")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33" t="str">
        <f>IF(B210&lt;'Умови та класичний графік'!$J$14,('Умови та класичний графік'!$J$15*$N$20)+(I211*$N$21),"")</f>
        <v/>
      </c>
      <c r="V211" s="41"/>
      <c r="W211" s="43" t="str">
        <f>IF(B210&lt;'Умови та класичний графік'!$J$14,XIRR($G$43:G211,$C$43:C211,0),"")</f>
        <v/>
      </c>
      <c r="X211" s="42"/>
      <c r="Y211" s="35"/>
    </row>
    <row r="212" spans="2:25" hidden="1" x14ac:dyDescent="0.2">
      <c r="B212" s="25">
        <v>169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96" t="str">
        <f>IF(B211&lt;'Умови та класичний графік'!$J$14,J212+K212+L212,"")</f>
        <v/>
      </c>
      <c r="H212" s="97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графік'!$J$22)/365)*F212,"")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графік'!$J$14,XIRR($G$43:G212,$C$43:C212,0),"")</f>
        <v/>
      </c>
      <c r="X212" s="42"/>
      <c r="Y212" s="35"/>
    </row>
    <row r="213" spans="2:25" hidden="1" x14ac:dyDescent="0.2">
      <c r="B213" s="25">
        <v>170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96" t="str">
        <f>IF(B212&lt;'Умови та класичний графік'!$J$14,J213+K213+L213,"")</f>
        <v/>
      </c>
      <c r="H213" s="97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графік'!$J$22)/365)*F213,"")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графік'!$J$14,XIRR($G$43:G213,$C$43:C213,0),"")</f>
        <v/>
      </c>
      <c r="X213" s="42"/>
      <c r="Y213" s="35"/>
    </row>
    <row r="214" spans="2:25" hidden="1" x14ac:dyDescent="0.2">
      <c r="B214" s="25">
        <v>171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96" t="str">
        <f>IF(B213&lt;'Умови та класичний графік'!$J$14,J214+K214+L214,"")</f>
        <v/>
      </c>
      <c r="H214" s="97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графік'!$J$22)/365)*F214,"")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графік'!$J$14,XIRR($G$43:G214,$C$43:C214,0),"")</f>
        <v/>
      </c>
      <c r="X214" s="42"/>
      <c r="Y214" s="35"/>
    </row>
    <row r="215" spans="2:25" hidden="1" x14ac:dyDescent="0.2">
      <c r="B215" s="25">
        <v>172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96" t="str">
        <f>IF(B214&lt;'Умови та класичний графік'!$J$14,J215+K215+L215,"")</f>
        <v/>
      </c>
      <c r="H215" s="97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графік'!$J$22)/365)*F215,"")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графік'!$J$14,XIRR($G$43:G215,$C$43:C215,0),"")</f>
        <v/>
      </c>
      <c r="X215" s="42"/>
      <c r="Y215" s="35"/>
    </row>
    <row r="216" spans="2:25" hidden="1" x14ac:dyDescent="0.2">
      <c r="B216" s="25">
        <v>173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96" t="str">
        <f>IF(B215&lt;'Умови та класичний графік'!$J$14,J216+K216+L216,"")</f>
        <v/>
      </c>
      <c r="H216" s="97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графік'!$J$22)/365)*F216,"")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графік'!$J$14,XIRR($G$43:G216,$C$43:C216,0),"")</f>
        <v/>
      </c>
      <c r="X216" s="42"/>
      <c r="Y216" s="35"/>
    </row>
    <row r="217" spans="2:25" hidden="1" x14ac:dyDescent="0.2">
      <c r="B217" s="25">
        <v>174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96" t="str">
        <f>IF(B216&lt;'Умови та класичний графік'!$J$14,J217+K217+L217,"")</f>
        <v/>
      </c>
      <c r="H217" s="97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графік'!$J$22)/365)*F217,"")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графік'!$J$14,XIRR($G$43:G217,$C$43:C217,0),"")</f>
        <v/>
      </c>
      <c r="X217" s="42"/>
      <c r="Y217" s="35"/>
    </row>
    <row r="218" spans="2:25" hidden="1" x14ac:dyDescent="0.2">
      <c r="B218" s="25">
        <v>175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96" t="str">
        <f>IF(B217&lt;'Умови та класичний графік'!$J$14,J218+K218+L218,"")</f>
        <v/>
      </c>
      <c r="H218" s="97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графік'!$J$22)/365)*F218,"")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графік'!$J$14,XIRR($G$43:G218,$C$43:C218,0),"")</f>
        <v/>
      </c>
      <c r="X218" s="42"/>
      <c r="Y218" s="35"/>
    </row>
    <row r="219" spans="2:25" hidden="1" x14ac:dyDescent="0.2">
      <c r="B219" s="25">
        <v>176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96" t="str">
        <f>IF(B218&lt;'Умови та класичний графік'!$J$14,J219+K219+L219,"")</f>
        <v/>
      </c>
      <c r="H219" s="97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графік'!$J$22)/365)*F219,"")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графік'!$J$14,XIRR($G$43:G219,$C$43:C219,0),"")</f>
        <v/>
      </c>
      <c r="X219" s="42"/>
      <c r="Y219" s="35"/>
    </row>
    <row r="220" spans="2:25" hidden="1" x14ac:dyDescent="0.2">
      <c r="B220" s="25">
        <v>177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96" t="str">
        <f>IF(B219&lt;'Умови та класичний графік'!$J$14,J220+K220+L220,"")</f>
        <v/>
      </c>
      <c r="H220" s="97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графік'!$J$22)/365)*F220,"")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графік'!$J$14,XIRR($G$43:G220,$C$43:C220,0),"")</f>
        <v/>
      </c>
      <c r="X220" s="42"/>
      <c r="Y220" s="35"/>
    </row>
    <row r="221" spans="2:25" hidden="1" x14ac:dyDescent="0.2">
      <c r="B221" s="25">
        <v>178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96" t="str">
        <f>IF(B220&lt;'Умови та класичний графік'!$J$14,J221+K221+L221,"")</f>
        <v/>
      </c>
      <c r="H221" s="97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графік'!$J$22)/365)*F221,"")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графік'!$J$14,XIRR($G$43:G221,$C$43:C221,0),"")</f>
        <v/>
      </c>
      <c r="X221" s="42"/>
      <c r="Y221" s="35"/>
    </row>
    <row r="222" spans="2:25" hidden="1" x14ac:dyDescent="0.2">
      <c r="B222" s="25">
        <v>179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96" t="str">
        <f>IF(B221&lt;'Умови та класичний графік'!$J$14,J222+K222+L222,"")</f>
        <v/>
      </c>
      <c r="H222" s="97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графік'!$J$22)/365)*F222,"")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графік'!$J$14,XIRR($G$43:G222,$C$43:C222,0),"")</f>
        <v/>
      </c>
      <c r="X222" s="42"/>
      <c r="Y222" s="35"/>
    </row>
    <row r="223" spans="2:25" hidden="1" x14ac:dyDescent="0.2">
      <c r="B223" s="25">
        <v>180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96" t="str">
        <f>IF(B222&lt;'Умови та класичний графік'!$J$14,J223+K223+L223,"")</f>
        <v/>
      </c>
      <c r="H223" s="97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графік'!$J$22)/365)*F223,"")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33" t="str">
        <f>IF(B222&lt;'Умови та класичний графік'!$J$14,('Умови та класичний графік'!$J$15*$N$20)+(I223*$N$21),"")</f>
        <v/>
      </c>
      <c r="V223" s="41"/>
      <c r="W223" s="43" t="str">
        <f>IF(B222&lt;'Умови та класичний графік'!$J$14,XIRR($G$43:G223,$C$43:C223,0),"")</f>
        <v/>
      </c>
      <c r="X223" s="42"/>
      <c r="Y223" s="35"/>
    </row>
    <row r="224" spans="2:25" hidden="1" x14ac:dyDescent="0.2">
      <c r="B224" s="25">
        <v>181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96" t="str">
        <f>IF(B223&lt;'Умови та класичний графік'!$J$14,J224+K224+L224,"")</f>
        <v/>
      </c>
      <c r="H224" s="97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графік'!$J$22)/365)*F224,"")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графік'!$J$14,XIRR($G$43:G224,$C$43:C224,0),"")</f>
        <v/>
      </c>
      <c r="X224" s="42"/>
      <c r="Y224" s="35"/>
    </row>
    <row r="225" spans="2:25" hidden="1" x14ac:dyDescent="0.2">
      <c r="B225" s="25">
        <v>182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96" t="str">
        <f>IF(B224&lt;'Умови та класичний графік'!$J$14,J225+K225+L225,"")</f>
        <v/>
      </c>
      <c r="H225" s="97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графік'!$J$22)/365)*F225,"")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графік'!$J$14,XIRR($G$43:G225,$C$43:C225,0),"")</f>
        <v/>
      </c>
      <c r="X225" s="42"/>
      <c r="Y225" s="35"/>
    </row>
    <row r="226" spans="2:25" hidden="1" x14ac:dyDescent="0.2">
      <c r="B226" s="25">
        <v>183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96" t="str">
        <f>IF(B225&lt;'Умови та класичний графік'!$J$14,J226+K226+L226,"")</f>
        <v/>
      </c>
      <c r="H226" s="97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графік'!$J$22)/365)*F226,"")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графік'!$J$14,XIRR($G$43:G226,$C$43:C226,0),"")</f>
        <v/>
      </c>
      <c r="X226" s="42"/>
      <c r="Y226" s="35"/>
    </row>
    <row r="227" spans="2:25" hidden="1" x14ac:dyDescent="0.2">
      <c r="B227" s="25">
        <v>184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96" t="str">
        <f>IF(B226&lt;'Умови та класичний графік'!$J$14,J227+K227+L227,"")</f>
        <v/>
      </c>
      <c r="H227" s="97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графік'!$J$22)/365)*F227,"")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графік'!$J$14,XIRR($G$43:G227,$C$43:C227,0),"")</f>
        <v/>
      </c>
      <c r="X227" s="42"/>
      <c r="Y227" s="35"/>
    </row>
    <row r="228" spans="2:25" hidden="1" x14ac:dyDescent="0.2">
      <c r="B228" s="25">
        <v>185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96" t="str">
        <f>IF(B227&lt;'Умови та класичний графік'!$J$14,J228+K228+L228,"")</f>
        <v/>
      </c>
      <c r="H228" s="97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графік'!$J$22)/365)*F228,"")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графік'!$J$14,XIRR($G$43:G228,$C$43:C228,0),"")</f>
        <v/>
      </c>
      <c r="X228" s="42"/>
      <c r="Y228" s="35"/>
    </row>
    <row r="229" spans="2:25" hidden="1" x14ac:dyDescent="0.2">
      <c r="B229" s="25">
        <v>186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96" t="str">
        <f>IF(B228&lt;'Умови та класичний графік'!$J$14,J229+K229+L229,"")</f>
        <v/>
      </c>
      <c r="H229" s="97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графік'!$J$22)/365)*F229,"")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графік'!$J$14,XIRR($G$43:G229,$C$43:C229,0),"")</f>
        <v/>
      </c>
      <c r="X229" s="42"/>
      <c r="Y229" s="35"/>
    </row>
    <row r="230" spans="2:25" hidden="1" x14ac:dyDescent="0.2">
      <c r="B230" s="25">
        <v>187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96" t="str">
        <f>IF(B229&lt;'Умови та класичний графік'!$J$14,J230+K230+L230,"")</f>
        <v/>
      </c>
      <c r="H230" s="97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графік'!$J$22)/365)*F230,"")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графік'!$J$14,XIRR($G$43:G230,$C$43:C230,0),"")</f>
        <v/>
      </c>
      <c r="X230" s="42"/>
      <c r="Y230" s="35"/>
    </row>
    <row r="231" spans="2:25" hidden="1" x14ac:dyDescent="0.2">
      <c r="B231" s="25">
        <v>188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96" t="str">
        <f>IF(B230&lt;'Умови та класичний графік'!$J$14,J231+K231+L231,"")</f>
        <v/>
      </c>
      <c r="H231" s="97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графік'!$J$22)/365)*F231,"")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графік'!$J$14,XIRR($G$43:G231,$C$43:C231,0),"")</f>
        <v/>
      </c>
      <c r="X231" s="42"/>
      <c r="Y231" s="35"/>
    </row>
    <row r="232" spans="2:25" hidden="1" x14ac:dyDescent="0.2">
      <c r="B232" s="25">
        <v>189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96" t="str">
        <f>IF(B231&lt;'Умови та класичний графік'!$J$14,J232+K232+L232,"")</f>
        <v/>
      </c>
      <c r="H232" s="97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графік'!$J$22)/365)*F232,"")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графік'!$J$14,XIRR($G$43:G232,$C$43:C232,0),"")</f>
        <v/>
      </c>
      <c r="X232" s="42"/>
      <c r="Y232" s="35"/>
    </row>
    <row r="233" spans="2:25" hidden="1" x14ac:dyDescent="0.2">
      <c r="B233" s="25">
        <v>190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96" t="str">
        <f>IF(B232&lt;'Умови та класичний графік'!$J$14,J233+K233+L233,"")</f>
        <v/>
      </c>
      <c r="H233" s="97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графік'!$J$22)/365)*F233,"")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графік'!$J$14,XIRR($G$43:G233,$C$43:C233,0),"")</f>
        <v/>
      </c>
      <c r="X233" s="42"/>
      <c r="Y233" s="35"/>
    </row>
    <row r="234" spans="2:25" hidden="1" x14ac:dyDescent="0.2">
      <c r="B234" s="25">
        <v>191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96" t="str">
        <f>IF(B233&lt;'Умови та класичний графік'!$J$14,J234+K234+L234,"")</f>
        <v/>
      </c>
      <c r="H234" s="97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графік'!$J$22)/365)*F234,"")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графік'!$J$14,XIRR($G$43:G234,$C$43:C234,0),"")</f>
        <v/>
      </c>
      <c r="X234" s="42"/>
      <c r="Y234" s="35"/>
    </row>
    <row r="235" spans="2:25" hidden="1" x14ac:dyDescent="0.2">
      <c r="B235" s="25">
        <v>192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96" t="str">
        <f>IF(B234&lt;'Умови та класичний графік'!$J$14,J235+K235+L235,"")</f>
        <v/>
      </c>
      <c r="H235" s="97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графік'!$J$22)/365)*F235,"")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33" t="str">
        <f>IF(B234&lt;'Умови та класичний графік'!$J$14,('Умови та класичний графік'!$J$15*$N$20)+(I235*$N$21),"")</f>
        <v/>
      </c>
      <c r="V235" s="41"/>
      <c r="W235" s="43" t="str">
        <f>IF(B234&lt;'Умови та класичний графік'!$J$14,XIRR($G$43:G235,$C$43:C235,0),"")</f>
        <v/>
      </c>
      <c r="X235" s="42"/>
      <c r="Y235" s="35"/>
    </row>
    <row r="236" spans="2:25" hidden="1" x14ac:dyDescent="0.2">
      <c r="B236" s="25">
        <v>193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96" t="str">
        <f>IF(B235&lt;'Умови та класичний графік'!$J$14,J236+K236+L236,"")</f>
        <v/>
      </c>
      <c r="H236" s="97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графік'!$J$22)/365)*F236,"")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графік'!$J$14,XIRR($G$43:G236,$C$43:C236,0),"")</f>
        <v/>
      </c>
      <c r="X236" s="42"/>
      <c r="Y236" s="35"/>
    </row>
    <row r="237" spans="2:25" hidden="1" x14ac:dyDescent="0.2">
      <c r="B237" s="25">
        <v>194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96" t="str">
        <f>IF(B236&lt;'Умови та класичний графік'!$J$14,J237+K237+L237,"")</f>
        <v/>
      </c>
      <c r="H237" s="97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графік'!$J$22)/365)*F237,"")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графік'!$J$14,XIRR($G$43:G237,$C$43:C237,0),"")</f>
        <v/>
      </c>
      <c r="X237" s="42"/>
      <c r="Y237" s="35"/>
    </row>
    <row r="238" spans="2:25" hidden="1" x14ac:dyDescent="0.2">
      <c r="B238" s="25">
        <v>195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96" t="str">
        <f>IF(B237&lt;'Умови та класичний графік'!$J$14,J238+K238+L238,"")</f>
        <v/>
      </c>
      <c r="H238" s="97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графік'!$J$22)/365)*F238,"")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графік'!$J$14,XIRR($G$43:G238,$C$43:C238,0),"")</f>
        <v/>
      </c>
      <c r="X238" s="42"/>
      <c r="Y238" s="35"/>
    </row>
    <row r="239" spans="2:25" hidden="1" x14ac:dyDescent="0.2">
      <c r="B239" s="25">
        <v>196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96" t="str">
        <f>IF(B238&lt;'Умови та класичний графік'!$J$14,J239+K239+L239,"")</f>
        <v/>
      </c>
      <c r="H239" s="97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графік'!$J$22)/365)*F239,"")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графік'!$J$14,XIRR($G$43:G239,$C$43:C239,0),"")</f>
        <v/>
      </c>
      <c r="X239" s="42"/>
      <c r="Y239" s="35"/>
    </row>
    <row r="240" spans="2:25" hidden="1" x14ac:dyDescent="0.2">
      <c r="B240" s="25">
        <v>197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96" t="str">
        <f>IF(B239&lt;'Умови та класичний графік'!$J$14,J240+K240+L240,"")</f>
        <v/>
      </c>
      <c r="H240" s="97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графік'!$J$22)/365)*F240,"")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графік'!$J$14,XIRR($G$43:G240,$C$43:C240,0),"")</f>
        <v/>
      </c>
      <c r="X240" s="42"/>
      <c r="Y240" s="35"/>
    </row>
    <row r="241" spans="2:25" hidden="1" x14ac:dyDescent="0.2">
      <c r="B241" s="25">
        <v>198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96" t="str">
        <f>IF(B240&lt;'Умови та класичний графік'!$J$14,J241+K241+L241,"")</f>
        <v/>
      </c>
      <c r="H241" s="97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графік'!$J$22)/365)*F241,"")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графік'!$J$14,XIRR($G$43:G241,$C$43:C241,0),"")</f>
        <v/>
      </c>
      <c r="X241" s="42"/>
      <c r="Y241" s="35"/>
    </row>
    <row r="242" spans="2:25" hidden="1" x14ac:dyDescent="0.2">
      <c r="B242" s="25">
        <v>199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96" t="str">
        <f>IF(B241&lt;'Умови та класичний графік'!$J$14,J242+K242+L242,"")</f>
        <v/>
      </c>
      <c r="H242" s="97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графік'!$J$22)/365)*F242,"")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графік'!$J$14,XIRR($G$43:G242,$C$43:C242,0),"")</f>
        <v/>
      </c>
      <c r="X242" s="42"/>
      <c r="Y242" s="35"/>
    </row>
    <row r="243" spans="2:25" hidden="1" x14ac:dyDescent="0.2">
      <c r="B243" s="25">
        <v>200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96" t="str">
        <f>IF(B242&lt;'Умови та класичний графік'!$J$14,J243+K243+L243,"")</f>
        <v/>
      </c>
      <c r="H243" s="97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графік'!$J$22)/365)*F243,"")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графік'!$J$14,XIRR($G$43:G243,$C$43:C243,0),"")</f>
        <v/>
      </c>
      <c r="X243" s="42"/>
      <c r="Y243" s="35"/>
    </row>
    <row r="244" spans="2:25" hidden="1" x14ac:dyDescent="0.2">
      <c r="B244" s="25">
        <v>201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96" t="str">
        <f>IF(B243&lt;'Умови та класичний графік'!$J$14,J244+K244+L244,"")</f>
        <v/>
      </c>
      <c r="H244" s="97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графік'!$J$22)/365)*F244,"")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графік'!$J$14,XIRR($G$43:G244,$C$43:C244,0),"")</f>
        <v/>
      </c>
      <c r="X244" s="42"/>
      <c r="Y244" s="35"/>
    </row>
    <row r="245" spans="2:25" hidden="1" x14ac:dyDescent="0.2">
      <c r="B245" s="25">
        <v>202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96" t="str">
        <f>IF(B244&lt;'Умови та класичний графік'!$J$14,J245+K245+L245,"")</f>
        <v/>
      </c>
      <c r="H245" s="97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графік'!$J$22)/365)*F245,"")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графік'!$J$14,XIRR($G$43:G245,$C$43:C245,0),"")</f>
        <v/>
      </c>
      <c r="X245" s="42"/>
      <c r="Y245" s="35"/>
    </row>
    <row r="246" spans="2:25" hidden="1" x14ac:dyDescent="0.2">
      <c r="B246" s="25">
        <v>203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96" t="str">
        <f>IF(B245&lt;'Умови та класичний графік'!$J$14,J246+K246+L246,"")</f>
        <v/>
      </c>
      <c r="H246" s="97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графік'!$J$22)/365)*F246,"")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графік'!$J$14,XIRR($G$43:G246,$C$43:C246,0),"")</f>
        <v/>
      </c>
      <c r="X246" s="42"/>
      <c r="Y246" s="35"/>
    </row>
    <row r="247" spans="2:25" hidden="1" x14ac:dyDescent="0.2">
      <c r="B247" s="25">
        <v>204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96" t="str">
        <f>IF(B246&lt;'Умови та класичний графік'!$J$14,J247+K247+L247,"")</f>
        <v/>
      </c>
      <c r="H247" s="97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графік'!$J$22)/365)*F247,"")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33" t="str">
        <f>IF(B246&lt;'Умови та класичний графік'!$J$14,('Умови та класичний графік'!$J$15*$N$20)+(I247*$N$21),"")</f>
        <v/>
      </c>
      <c r="V247" s="41"/>
      <c r="W247" s="43" t="str">
        <f>IF(B246&lt;'Умови та класичний графік'!$J$14,XIRR($G$43:G247,$C$43:C247,0),"")</f>
        <v/>
      </c>
      <c r="X247" s="42"/>
      <c r="Y247" s="35"/>
    </row>
    <row r="248" spans="2:25" hidden="1" x14ac:dyDescent="0.2">
      <c r="B248" s="25">
        <v>205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96" t="str">
        <f>IF(B247&lt;'Умови та класичний графік'!$J$14,J248+K248+L248,"")</f>
        <v/>
      </c>
      <c r="H248" s="97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графік'!$J$22)/365)*F248,"")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графік'!$J$14,XIRR($G$43:G248,$C$43:C248,0),"")</f>
        <v/>
      </c>
      <c r="X248" s="42"/>
      <c r="Y248" s="35"/>
    </row>
    <row r="249" spans="2:25" hidden="1" x14ac:dyDescent="0.2">
      <c r="B249" s="25">
        <v>206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96" t="str">
        <f>IF(B248&lt;'Умови та класичний графік'!$J$14,J249+K249+L249,"")</f>
        <v/>
      </c>
      <c r="H249" s="97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графік'!$J$22)/365)*F249,"")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графік'!$J$14,XIRR($G$43:G249,$C$43:C249,0),"")</f>
        <v/>
      </c>
      <c r="X249" s="42"/>
      <c r="Y249" s="35"/>
    </row>
    <row r="250" spans="2:25" hidden="1" x14ac:dyDescent="0.2">
      <c r="B250" s="25">
        <v>207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96" t="str">
        <f>IF(B249&lt;'Умови та класичний графік'!$J$14,J250+K250+L250,"")</f>
        <v/>
      </c>
      <c r="H250" s="97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графік'!$J$22)/365)*F250,"")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графік'!$J$14,XIRR($G$43:G250,$C$43:C250,0),"")</f>
        <v/>
      </c>
      <c r="X250" s="42"/>
      <c r="Y250" s="35"/>
    </row>
    <row r="251" spans="2:25" hidden="1" x14ac:dyDescent="0.2">
      <c r="B251" s="25">
        <v>208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96" t="str">
        <f>IF(B250&lt;'Умови та класичний графік'!$J$14,J251+K251+L251,"")</f>
        <v/>
      </c>
      <c r="H251" s="97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графік'!$J$22)/365)*F251,"")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графік'!$J$14,XIRR($G$43:G251,$C$43:C251,0),"")</f>
        <v/>
      </c>
      <c r="X251" s="42"/>
      <c r="Y251" s="35"/>
    </row>
    <row r="252" spans="2:25" hidden="1" x14ac:dyDescent="0.2">
      <c r="B252" s="25">
        <v>209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96" t="str">
        <f>IF(B251&lt;'Умови та класичний графік'!$J$14,J252+K252+L252,"")</f>
        <v/>
      </c>
      <c r="H252" s="97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графік'!$J$22)/365)*F252,"")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графік'!$J$14,XIRR($G$43:G252,$C$43:C252,0),"")</f>
        <v/>
      </c>
      <c r="X252" s="42"/>
      <c r="Y252" s="35"/>
    </row>
    <row r="253" spans="2:25" hidden="1" x14ac:dyDescent="0.2">
      <c r="B253" s="25">
        <v>210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96" t="str">
        <f>IF(B252&lt;'Умови та класичний графік'!$J$14,J253+K253+L253,"")</f>
        <v/>
      </c>
      <c r="H253" s="97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графік'!$J$22)/365)*F253,"")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графік'!$J$14,XIRR($G$43:G253,$C$43:C253,0),"")</f>
        <v/>
      </c>
      <c r="X253" s="42"/>
      <c r="Y253" s="35"/>
    </row>
    <row r="254" spans="2:25" hidden="1" x14ac:dyDescent="0.2">
      <c r="B254" s="25">
        <v>211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96" t="str">
        <f>IF(B253&lt;'Умови та класичний графік'!$J$14,J254+K254+L254,"")</f>
        <v/>
      </c>
      <c r="H254" s="97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графік'!$J$22)/365)*F254,"")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графік'!$J$14,XIRR($G$43:G254,$C$43:C254,0),"")</f>
        <v/>
      </c>
      <c r="X254" s="42"/>
      <c r="Y254" s="35"/>
    </row>
    <row r="255" spans="2:25" hidden="1" x14ac:dyDescent="0.2">
      <c r="B255" s="25">
        <v>212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96" t="str">
        <f>IF(B254&lt;'Умови та класичний графік'!$J$14,J255+K255+L255,"")</f>
        <v/>
      </c>
      <c r="H255" s="97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графік'!$J$22)/365)*F255,"")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графік'!$J$14,XIRR($G$43:G255,$C$43:C255,0),"")</f>
        <v/>
      </c>
      <c r="X255" s="42"/>
      <c r="Y255" s="35"/>
    </row>
    <row r="256" spans="2:25" hidden="1" x14ac:dyDescent="0.2">
      <c r="B256" s="25">
        <v>213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96" t="str">
        <f>IF(B255&lt;'Умови та класичний графік'!$J$14,J256+K256+L256,"")</f>
        <v/>
      </c>
      <c r="H256" s="97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графік'!$J$22)/365)*F256,"")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графік'!$J$14,XIRR($G$43:G256,$C$43:C256,0),"")</f>
        <v/>
      </c>
      <c r="X256" s="42"/>
      <c r="Y256" s="35"/>
    </row>
    <row r="257" spans="2:25" hidden="1" x14ac:dyDescent="0.2">
      <c r="B257" s="25">
        <v>214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96" t="str">
        <f>IF(B256&lt;'Умови та класичний графік'!$J$14,J257+K257+L257,"")</f>
        <v/>
      </c>
      <c r="H257" s="97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графік'!$J$22)/365)*F257,"")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графік'!$J$14,XIRR($G$43:G257,$C$43:C257,0),"")</f>
        <v/>
      </c>
      <c r="X257" s="42"/>
      <c r="Y257" s="35"/>
    </row>
    <row r="258" spans="2:25" hidden="1" x14ac:dyDescent="0.2">
      <c r="B258" s="25">
        <v>215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96" t="str">
        <f>IF(B257&lt;'Умови та класичний графік'!$J$14,J258+K258+L258,"")</f>
        <v/>
      </c>
      <c r="H258" s="97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графік'!$J$22)/365)*F258,"")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графік'!$J$14,XIRR($G$43:G258,$C$43:C258,0),"")</f>
        <v/>
      </c>
      <c r="X258" s="42"/>
      <c r="Y258" s="35"/>
    </row>
    <row r="259" spans="2:25" hidden="1" x14ac:dyDescent="0.2">
      <c r="B259" s="25">
        <v>216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96" t="str">
        <f>IF(B258&lt;'Умови та класичний графік'!$J$14,J259+K259+L259,"")</f>
        <v/>
      </c>
      <c r="H259" s="97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графік'!$J$22)/365)*F259,"")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 t="str">
        <f>IF(B258&lt;'Умови та класичний графік'!$J$14,('Умови та класичний графік'!$J$15*$N$20)+(I259*$N$21),"")</f>
        <v/>
      </c>
      <c r="V259" s="41"/>
      <c r="W259" s="43" t="str">
        <f>IF(B258&lt;'Умови та класичний графік'!$J$14,XIRR($G$43:G259,$C$43:C259,0),"")</f>
        <v/>
      </c>
      <c r="X259" s="42"/>
      <c r="Y259" s="35"/>
    </row>
    <row r="260" spans="2:25" hidden="1" x14ac:dyDescent="0.2">
      <c r="B260" s="25">
        <v>217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96" t="str">
        <f>IF(B259&lt;'Умови та класичний графік'!$J$14,J260+K260+L260,"")</f>
        <v/>
      </c>
      <c r="H260" s="97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графік'!$J$22)/365)*F260,"")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графік'!$J$14,XIRR($G$43:G260,$C$43:C260,0),"")</f>
        <v/>
      </c>
      <c r="X260" s="42"/>
      <c r="Y260" s="35"/>
    </row>
    <row r="261" spans="2:25" hidden="1" x14ac:dyDescent="0.2">
      <c r="B261" s="25">
        <v>218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96" t="str">
        <f>IF(B260&lt;'Умови та класичний графік'!$J$14,J261+K261+L261,"")</f>
        <v/>
      </c>
      <c r="H261" s="97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графік'!$J$22)/365)*F261,"")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графік'!$J$14,XIRR($G$43:G261,$C$43:C261,0),"")</f>
        <v/>
      </c>
      <c r="X261" s="42"/>
      <c r="Y261" s="35"/>
    </row>
    <row r="262" spans="2:25" hidden="1" x14ac:dyDescent="0.2">
      <c r="B262" s="25">
        <v>219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96" t="str">
        <f>IF(B261&lt;'Умови та класичний графік'!$J$14,J262+K262+L262,"")</f>
        <v/>
      </c>
      <c r="H262" s="97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графік'!$J$22)/365)*F262,"")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графік'!$J$14,XIRR($G$43:G262,$C$43:C262,0),"")</f>
        <v/>
      </c>
      <c r="X262" s="42"/>
      <c r="Y262" s="35"/>
    </row>
    <row r="263" spans="2:25" hidden="1" x14ac:dyDescent="0.2">
      <c r="B263" s="25">
        <v>220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96" t="str">
        <f>IF(B262&lt;'Умови та класичний графік'!$J$14,J263+K263+L263,"")</f>
        <v/>
      </c>
      <c r="H263" s="97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графік'!$J$22)/365)*F263,"")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графік'!$J$14,XIRR($G$43:G263,$C$43:C263,0),"")</f>
        <v/>
      </c>
      <c r="X263" s="42"/>
      <c r="Y263" s="35"/>
    </row>
    <row r="264" spans="2:25" hidden="1" x14ac:dyDescent="0.2">
      <c r="B264" s="25">
        <v>221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96" t="str">
        <f>IF(B263&lt;'Умови та класичний графік'!$J$14,J264+K264+L264,"")</f>
        <v/>
      </c>
      <c r="H264" s="97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графік'!$J$22)/365)*F264,"")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графік'!$J$14,XIRR($G$43:G264,$C$43:C264,0),"")</f>
        <v/>
      </c>
      <c r="X264" s="42"/>
      <c r="Y264" s="35"/>
    </row>
    <row r="265" spans="2:25" hidden="1" x14ac:dyDescent="0.2">
      <c r="B265" s="25">
        <v>222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96" t="str">
        <f>IF(B264&lt;'Умови та класичний графік'!$J$14,J265+K265+L265,"")</f>
        <v/>
      </c>
      <c r="H265" s="97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графік'!$J$22)/365)*F265,"")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графік'!$J$14,XIRR($G$43:G265,$C$43:C265,0),"")</f>
        <v/>
      </c>
      <c r="X265" s="42"/>
      <c r="Y265" s="35"/>
    </row>
    <row r="266" spans="2:25" hidden="1" x14ac:dyDescent="0.2">
      <c r="B266" s="25">
        <v>223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96" t="str">
        <f>IF(B265&lt;'Умови та класичний графік'!$J$14,J266+K266+L266,"")</f>
        <v/>
      </c>
      <c r="H266" s="97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графік'!$J$22)/365)*F266,"")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графік'!$J$14,XIRR($G$43:G266,$C$43:C266,0),"")</f>
        <v/>
      </c>
      <c r="X266" s="42"/>
      <c r="Y266" s="35"/>
    </row>
    <row r="267" spans="2:25" hidden="1" x14ac:dyDescent="0.2">
      <c r="B267" s="25">
        <v>224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96" t="str">
        <f>IF(B266&lt;'Умови та класичний графік'!$J$14,J267+K267+L267,"")</f>
        <v/>
      </c>
      <c r="H267" s="97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графік'!$J$22)/365)*F267,"")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графік'!$J$14,XIRR($G$43:G267,$C$43:C267,0),"")</f>
        <v/>
      </c>
      <c r="X267" s="42"/>
      <c r="Y267" s="35"/>
    </row>
    <row r="268" spans="2:25" hidden="1" x14ac:dyDescent="0.2">
      <c r="B268" s="25">
        <v>225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96" t="str">
        <f>IF(B267&lt;'Умови та класичний графік'!$J$14,J268+K268+L268,"")</f>
        <v/>
      </c>
      <c r="H268" s="97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графік'!$J$22)/365)*F268,"")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графік'!$J$14,XIRR($G$43:G268,$C$43:C268,0),"")</f>
        <v/>
      </c>
      <c r="X268" s="42"/>
      <c r="Y268" s="35"/>
    </row>
    <row r="269" spans="2:25" hidden="1" x14ac:dyDescent="0.2">
      <c r="B269" s="25">
        <v>226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96" t="str">
        <f>IF(B268&lt;'Умови та класичний графік'!$J$14,J269+K269+L269,"")</f>
        <v/>
      </c>
      <c r="H269" s="97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графік'!$J$22)/365)*F269,"")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32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графік'!$J$14,XIRR($G$43:G269,$C$43:C269,0),"")</f>
        <v/>
      </c>
      <c r="X269" s="42"/>
      <c r="Y269" s="35"/>
    </row>
    <row r="270" spans="2:25" hidden="1" x14ac:dyDescent="0.2">
      <c r="B270" s="25">
        <v>227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96" t="str">
        <f>IF(B269&lt;'Умови та класичний графік'!$J$14,J270+K270+L270,"")</f>
        <v/>
      </c>
      <c r="H270" s="97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графік'!$J$22)/365)*F270,"")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32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графік'!$J$14,XIRR($G$43:G270,$C$43:C270,0),"")</f>
        <v/>
      </c>
      <c r="X270" s="42"/>
      <c r="Y270" s="35"/>
    </row>
    <row r="271" spans="2:25" hidden="1" x14ac:dyDescent="0.2">
      <c r="B271" s="25">
        <v>228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96" t="str">
        <f>IF(B270&lt;'Умови та класичний графік'!$J$14,J271+K271+L271,"")</f>
        <v/>
      </c>
      <c r="H271" s="97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графік'!$J$22)/365)*F271,"")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32"/>
      <c r="Q271" s="40"/>
      <c r="R271" s="40"/>
      <c r="S271" s="41"/>
      <c r="T271" s="41"/>
      <c r="U271" s="33" t="str">
        <f>IF(B270&lt;'Умови та класичний графік'!$J$14,('Умови та класичний графік'!$J$15*$N$20)+(I271*$N$21),"")</f>
        <v/>
      </c>
      <c r="V271" s="41"/>
      <c r="W271" s="43" t="str">
        <f>IF(B270&lt;'Умови та класичний графік'!$J$14,XIRR($G$43:G271,$C$43:C271,0),"")</f>
        <v/>
      </c>
      <c r="X271" s="42"/>
      <c r="Y271" s="35"/>
    </row>
    <row r="272" spans="2:25" hidden="1" x14ac:dyDescent="0.2">
      <c r="B272" s="25">
        <v>229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96" t="str">
        <f>IF(B271&lt;'Умови та класичний графік'!$J$14,J272+K272+L272,"")</f>
        <v/>
      </c>
      <c r="H272" s="97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графік'!$J$22)/365)*F272,"")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32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графік'!$J$14,XIRR($G$43:G272,$C$43:C272,0),"")</f>
        <v/>
      </c>
      <c r="X272" s="42"/>
      <c r="Y272" s="35"/>
    </row>
    <row r="273" spans="2:25" hidden="1" x14ac:dyDescent="0.2">
      <c r="B273" s="25">
        <v>230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96" t="str">
        <f>IF(B272&lt;'Умови та класичний графік'!$J$14,J273+K273+L273,"")</f>
        <v/>
      </c>
      <c r="H273" s="97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графік'!$J$22)/365)*F273,"")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32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графік'!$J$14,XIRR($G$43:G273,$C$43:C273,0),"")</f>
        <v/>
      </c>
      <c r="X273" s="42"/>
      <c r="Y273" s="35"/>
    </row>
    <row r="274" spans="2:25" hidden="1" x14ac:dyDescent="0.2">
      <c r="B274" s="25">
        <v>231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96" t="str">
        <f>IF(B273&lt;'Умови та класичний графік'!$J$14,J274+K274+L274,"")</f>
        <v/>
      </c>
      <c r="H274" s="97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графік'!$J$22)/365)*F274,"")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32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графік'!$J$14,XIRR($G$43:G274,$C$43:C274,0),"")</f>
        <v/>
      </c>
      <c r="X274" s="42"/>
      <c r="Y274" s="35"/>
    </row>
    <row r="275" spans="2:25" hidden="1" x14ac:dyDescent="0.2">
      <c r="B275" s="25">
        <v>232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96" t="str">
        <f>IF(B274&lt;'Умови та класичний графік'!$J$14,J275+K275+L275,"")</f>
        <v/>
      </c>
      <c r="H275" s="97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графік'!$J$22)/365)*F275,"")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32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графік'!$J$14,XIRR($G$43:G275,$C$43:C275,0),"")</f>
        <v/>
      </c>
      <c r="X275" s="42"/>
      <c r="Y275" s="35"/>
    </row>
    <row r="276" spans="2:25" hidden="1" x14ac:dyDescent="0.2">
      <c r="B276" s="47">
        <v>233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96" t="str">
        <f>IF(B275&lt;'Умови та класичний графік'!$J$14,J276+K276+L276,"")</f>
        <v/>
      </c>
      <c r="H276" s="97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графік'!$J$22)/365)*F276,"")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41"/>
      <c r="V276" s="41"/>
      <c r="W276" s="43" t="str">
        <f>IF(B275&lt;'Умови та класичний графік'!$J$14,XIRR($G$43:G276,$C$43:C276,0),"")</f>
        <v/>
      </c>
      <c r="X276" s="42"/>
      <c r="Y276" s="35"/>
    </row>
    <row r="277" spans="2:25" hidden="1" x14ac:dyDescent="0.2">
      <c r="B277" s="47">
        <v>234</v>
      </c>
      <c r="C277" s="36" t="str">
        <f>IF(B276&lt;'Умови та класичний графік'!$J$14,EDATE(C276,1),"")</f>
        <v/>
      </c>
      <c r="D277" s="36" t="str">
        <f>IF(B276&lt;'Умови та класичний графік'!$J$14,C276,"")</f>
        <v/>
      </c>
      <c r="E277" s="26" t="str">
        <f>IF(B276&lt;'Умови та класичний графік'!$J$14,C277-1,"")</f>
        <v/>
      </c>
      <c r="F277" s="37" t="str">
        <f>IF(B276&lt;'Умови та класичний графік'!$J$14,E277-D277+1,"")</f>
        <v/>
      </c>
      <c r="G277" s="96" t="str">
        <f>IF(B276&lt;'Умови та класичний графік'!$J$14,J277+K277+L277,"")</f>
        <v/>
      </c>
      <c r="H277" s="97"/>
      <c r="I277" s="32" t="str">
        <f>IF(B276&lt;'Умови та класичний графік'!$J$14,I276-J277,"")</f>
        <v/>
      </c>
      <c r="J277" s="32" t="str">
        <f>IF(B276&lt;'Умови та класичний графік'!$J$14,J276,"")</f>
        <v/>
      </c>
      <c r="K277" s="32" t="str">
        <f>IF(B276&lt;'Умови та класичний графік'!$J$14,((I276*'Умови та класичний графік'!$J$22)/365)*F277,"")</f>
        <v/>
      </c>
      <c r="L277" s="30" t="str">
        <f>IF(B276&lt;'Умови та класичний графік'!$J$14,SUM(M277:V277),"")</f>
        <v/>
      </c>
      <c r="M277" s="38"/>
      <c r="N277" s="39"/>
      <c r="O277" s="39"/>
      <c r="P277" s="48"/>
      <c r="Q277" s="40"/>
      <c r="R277" s="40"/>
      <c r="S277" s="41"/>
      <c r="T277" s="41"/>
      <c r="U277" s="41"/>
      <c r="V277" s="41"/>
      <c r="W277" s="43" t="str">
        <f>IF(B276&lt;'Умови та класичний графік'!$J$14,XIRR($G$43:G277,$C$43:C277,0),"")</f>
        <v/>
      </c>
      <c r="X277" s="42"/>
      <c r="Y277" s="35"/>
    </row>
    <row r="278" spans="2:25" hidden="1" x14ac:dyDescent="0.2">
      <c r="B278" s="47">
        <v>235</v>
      </c>
      <c r="C278" s="36" t="str">
        <f>IF(B277&lt;'Умови та класичний графік'!$J$14,EDATE(C277,1),"")</f>
        <v/>
      </c>
      <c r="D278" s="36" t="str">
        <f>IF(B277&lt;'Умови та класичний графік'!$J$14,C277,"")</f>
        <v/>
      </c>
      <c r="E278" s="26" t="str">
        <f>IF(B277&lt;'Умови та класичний графік'!$J$14,C278-1,"")</f>
        <v/>
      </c>
      <c r="F278" s="37" t="str">
        <f>IF(B277&lt;'Умови та класичний графік'!$J$14,E278-D278+1,"")</f>
        <v/>
      </c>
      <c r="G278" s="96" t="str">
        <f>IF(B277&lt;'Умови та класичний графік'!$J$14,J278+K278+L278,"")</f>
        <v/>
      </c>
      <c r="H278" s="97"/>
      <c r="I278" s="32" t="str">
        <f>IF(B277&lt;'Умови та класичний графік'!$J$14,I277-J278,"")</f>
        <v/>
      </c>
      <c r="J278" s="32" t="str">
        <f>IF(B277&lt;'Умови та класичний графік'!$J$14,J277,"")</f>
        <v/>
      </c>
      <c r="K278" s="32" t="str">
        <f>IF(B277&lt;'Умови та класичний графік'!$J$14,((I277*'Умови та класичний графік'!$J$22)/365)*F278,"")</f>
        <v/>
      </c>
      <c r="L278" s="30" t="str">
        <f>IF(B277&lt;'Умови та класичний графік'!$J$14,SUM(M278:V278),"")</f>
        <v/>
      </c>
      <c r="M278" s="38"/>
      <c r="N278" s="39"/>
      <c r="O278" s="39"/>
      <c r="P278" s="48"/>
      <c r="Q278" s="40"/>
      <c r="R278" s="40"/>
      <c r="S278" s="41"/>
      <c r="T278" s="41"/>
      <c r="U278" s="33"/>
      <c r="V278" s="41"/>
      <c r="W278" s="43" t="str">
        <f>IF(B277&lt;'Умови та класичний графік'!$J$14,XIRR($G$43:G278,$C$43:C278,0),"")</f>
        <v/>
      </c>
      <c r="X278" s="42"/>
      <c r="Y278" s="35"/>
    </row>
    <row r="279" spans="2:25" hidden="1" x14ac:dyDescent="0.2">
      <c r="B279" s="47">
        <v>236</v>
      </c>
      <c r="C279" s="36" t="str">
        <f>IF(B278&lt;'Умови та класичний графік'!$J$14,EDATE(C278,1),"")</f>
        <v/>
      </c>
      <c r="D279" s="36" t="str">
        <f>IF(B278&lt;'Умови та класичний графік'!$J$14,C278,"")</f>
        <v/>
      </c>
      <c r="E279" s="26" t="str">
        <f>IF(B278&lt;'Умови та класичний графік'!$J$14,C279-1,"")</f>
        <v/>
      </c>
      <c r="F279" s="37" t="str">
        <f>IF(B278&lt;'Умови та класичний графік'!$J$14,E279-D279+1,"")</f>
        <v/>
      </c>
      <c r="G279" s="96" t="str">
        <f>IF(B278&lt;'Умови та класичний графік'!$J$14,J279+K279+L279,"")</f>
        <v/>
      </c>
      <c r="H279" s="97"/>
      <c r="I279" s="32" t="str">
        <f>IF(B278&lt;'Умови та класичний графік'!$J$14,I278-J279,"")</f>
        <v/>
      </c>
      <c r="J279" s="32" t="str">
        <f>IF(B278&lt;'Умови та класичний графік'!$J$14,J278,"")</f>
        <v/>
      </c>
      <c r="K279" s="32" t="str">
        <f>IF(B278&lt;'Умови та класичний графік'!$J$14,((I278*'Умови та класичний графік'!$J$22)/365)*F279,"")</f>
        <v/>
      </c>
      <c r="L279" s="30" t="str">
        <f>IF(B278&lt;'Умови та класичний графік'!$J$14,SUM(M279:V279),"")</f>
        <v/>
      </c>
      <c r="M279" s="38"/>
      <c r="N279" s="39"/>
      <c r="O279" s="39"/>
      <c r="P279" s="48"/>
      <c r="Q279" s="40"/>
      <c r="R279" s="40"/>
      <c r="S279" s="41"/>
      <c r="T279" s="41"/>
      <c r="U279" s="41"/>
      <c r="V279" s="41"/>
      <c r="W279" s="43" t="str">
        <f>IF(B278&lt;'Умови та класичний графік'!$J$14,XIRR($G$43:G279,$C$43:C279,0),"")</f>
        <v/>
      </c>
      <c r="X279" s="42"/>
      <c r="Y279" s="35"/>
    </row>
    <row r="280" spans="2:25" hidden="1" x14ac:dyDescent="0.2">
      <c r="B280" s="47">
        <v>237</v>
      </c>
      <c r="C280" s="36" t="str">
        <f>IF(B279&lt;'Умови та класичний графік'!$J$14,EDATE(C279,1),"")</f>
        <v/>
      </c>
      <c r="D280" s="36" t="str">
        <f>IF(B279&lt;'Умови та класичний графік'!$J$14,C279,"")</f>
        <v/>
      </c>
      <c r="E280" s="26" t="str">
        <f>IF(B279&lt;'Умови та класичний графік'!$J$14,C280-1,"")</f>
        <v/>
      </c>
      <c r="F280" s="37" t="str">
        <f>IF(B279&lt;'Умови та класичний графік'!$J$14,E280-D280+1,"")</f>
        <v/>
      </c>
      <c r="G280" s="96" t="str">
        <f>IF(B279&lt;'Умови та класичний графік'!$J$14,J280+K280+L280,"")</f>
        <v/>
      </c>
      <c r="H280" s="97"/>
      <c r="I280" s="32" t="str">
        <f>IF(B279&lt;'Умови та класичний графік'!$J$14,I279-J280,"")</f>
        <v/>
      </c>
      <c r="J280" s="32" t="str">
        <f>IF(B279&lt;'Умови та класичний графік'!$J$14,J279,"")</f>
        <v/>
      </c>
      <c r="K280" s="32" t="str">
        <f>IF(B279&lt;'Умови та класичний графік'!$J$14,((I279*'Умови та класичний графік'!$J$22)/365)*F280,"")</f>
        <v/>
      </c>
      <c r="L280" s="30" t="str">
        <f>IF(B279&lt;'Умови та класичний графік'!$J$14,SUM(M280:V280),"")</f>
        <v/>
      </c>
      <c r="M280" s="38"/>
      <c r="N280" s="39"/>
      <c r="O280" s="39"/>
      <c r="P280" s="48"/>
      <c r="Q280" s="40"/>
      <c r="R280" s="40"/>
      <c r="S280" s="41"/>
      <c r="T280" s="41"/>
      <c r="U280" s="41"/>
      <c r="V280" s="41"/>
      <c r="W280" s="43" t="str">
        <f>IF(B279&lt;'Умови та класичний графік'!$J$14,XIRR($G$43:G280,$C$43:C280,0),"")</f>
        <v/>
      </c>
      <c r="X280" s="42"/>
      <c r="Y280" s="35"/>
    </row>
    <row r="281" spans="2:25" hidden="1" x14ac:dyDescent="0.2">
      <c r="B281" s="47">
        <v>238</v>
      </c>
      <c r="C281" s="36" t="str">
        <f>IF(B280&lt;'Умови та класичний графік'!$J$14,EDATE(C280,1),"")</f>
        <v/>
      </c>
      <c r="D281" s="36" t="str">
        <f>IF(B280&lt;'Умови та класичний графік'!$J$14,C280,"")</f>
        <v/>
      </c>
      <c r="E281" s="26" t="str">
        <f>IF(B280&lt;'Умови та класичний графік'!$J$14,C281-1,"")</f>
        <v/>
      </c>
      <c r="F281" s="37" t="str">
        <f>IF(B280&lt;'Умови та класичний графік'!$J$14,E281-D281+1,"")</f>
        <v/>
      </c>
      <c r="G281" s="96" t="str">
        <f>IF(B280&lt;'Умови та класичний графік'!$J$14,J281+K281+L281,"")</f>
        <v/>
      </c>
      <c r="H281" s="97"/>
      <c r="I281" s="32" t="str">
        <f>IF(B280&lt;'Умови та класичний графік'!$J$14,I280-J281,"")</f>
        <v/>
      </c>
      <c r="J281" s="32" t="str">
        <f>IF(B280&lt;'Умови та класичний графік'!$J$14,J280,"")</f>
        <v/>
      </c>
      <c r="K281" s="32" t="str">
        <f>IF(B280&lt;'Умови та класичний графік'!$J$14,((I280*'Умови та класичний графік'!$J$22)/365)*F281,"")</f>
        <v/>
      </c>
      <c r="L281" s="30" t="str">
        <f>IF(B280&lt;'Умови та класичний графік'!$J$14,SUM(M281:V281),"")</f>
        <v/>
      </c>
      <c r="M281" s="38"/>
      <c r="N281" s="39"/>
      <c r="O281" s="39"/>
      <c r="P281" s="48"/>
      <c r="Q281" s="40"/>
      <c r="R281" s="40"/>
      <c r="S281" s="41"/>
      <c r="T281" s="41"/>
      <c r="U281" s="41"/>
      <c r="V281" s="41"/>
      <c r="W281" s="43" t="str">
        <f>IF(B280&lt;'Умови та класичний графік'!$J$14,XIRR($G$43:G281,$C$43:C281,0),"")</f>
        <v/>
      </c>
      <c r="X281" s="49"/>
      <c r="Y281" s="35"/>
    </row>
    <row r="282" spans="2:25" hidden="1" x14ac:dyDescent="0.2">
      <c r="B282" s="47">
        <v>239</v>
      </c>
      <c r="C282" s="36" t="str">
        <f>IF(B281&lt;'Умови та класичний графік'!$J$14,EDATE(C281,1),"")</f>
        <v/>
      </c>
      <c r="D282" s="36" t="str">
        <f>IF(B281&lt;'Умови та класичний графік'!$J$14,C281,"")</f>
        <v/>
      </c>
      <c r="E282" s="26" t="str">
        <f>IF(B281&lt;'Умови та класичний графік'!$J$14,C282-1,"")</f>
        <v/>
      </c>
      <c r="F282" s="37" t="str">
        <f>IF(B281&lt;'Умови та класичний графік'!$J$14,E282-D282+1,"")</f>
        <v/>
      </c>
      <c r="G282" s="96" t="str">
        <f>IF(B281&lt;'Умови та класичний графік'!$J$14,J282+K282+L282,"")</f>
        <v/>
      </c>
      <c r="H282" s="97"/>
      <c r="I282" s="32" t="str">
        <f>IF(B281&lt;'Умови та класичний графік'!$J$14,I281-J282,"")</f>
        <v/>
      </c>
      <c r="J282" s="32" t="str">
        <f>IF(B281&lt;'Умови та класичний графік'!$J$14,J281,"")</f>
        <v/>
      </c>
      <c r="K282" s="32" t="str">
        <f>IF(B281&lt;'Умови та класичний графік'!$J$14,((I281*'Умови та класичний графік'!$J$22)/365)*F282,"")</f>
        <v/>
      </c>
      <c r="L282" s="30" t="str">
        <f>IF(B281&lt;'Умови та класичний графік'!$J$14,SUM(M282:V282),"")</f>
        <v/>
      </c>
      <c r="M282" s="38"/>
      <c r="N282" s="39"/>
      <c r="O282" s="39"/>
      <c r="P282" s="48"/>
      <c r="Q282" s="40"/>
      <c r="R282" s="40"/>
      <c r="S282" s="41"/>
      <c r="T282" s="41"/>
      <c r="U282" s="41"/>
      <c r="V282" s="41"/>
      <c r="W282" s="43" t="str">
        <f>IF(B281&lt;'Умови та класичний графік'!$J$14,XIRR($G$43:G282,$C$43:C282,0),"")</f>
        <v/>
      </c>
      <c r="X282" s="49"/>
      <c r="Y282" s="35"/>
    </row>
    <row r="283" spans="2:25" hidden="1" x14ac:dyDescent="0.2">
      <c r="B283" s="47">
        <v>240</v>
      </c>
      <c r="C283" s="36" t="str">
        <f>IF(B282&lt;'Умови та класичний графік'!$J$14,EDATE(C282,1),"")</f>
        <v/>
      </c>
      <c r="D283" s="36" t="str">
        <f>IF(B282&lt;'Умови та класичний графік'!$J$14,C282,"")</f>
        <v/>
      </c>
      <c r="E283" s="26" t="str">
        <f>IF(B282&lt;'Умови та класичний графік'!$J$14,C283-1,"")</f>
        <v/>
      </c>
      <c r="F283" s="37" t="str">
        <f>IF(B282&lt;'Умови та класичний графік'!$J$14,E283-D283+1,"")</f>
        <v/>
      </c>
      <c r="G283" s="96" t="str">
        <f>IF(B282&lt;'Умови та класичний графік'!$J$14,J283+K283+L283,"")</f>
        <v/>
      </c>
      <c r="H283" s="97"/>
      <c r="I283" s="32" t="str">
        <f>IF(B282&lt;'Умови та класичний графік'!$J$14,I282-J283,"")</f>
        <v/>
      </c>
      <c r="J283" s="32" t="str">
        <f>IF(B282&lt;'Умови та класичний графік'!$J$14,J282,"")</f>
        <v/>
      </c>
      <c r="K283" s="32" t="str">
        <f>IF(B282&lt;'Умови та класичний графік'!$J$14,((I282*'Умови та класичний графік'!$J$22)/365)*F283,"")</f>
        <v/>
      </c>
      <c r="L283" s="30" t="str">
        <f>IF(B282&lt;'Умови та класичний графік'!$J$14,SUM(M283:V283),"")</f>
        <v/>
      </c>
      <c r="M283" s="38"/>
      <c r="N283" s="39"/>
      <c r="O283" s="39"/>
      <c r="P283" s="48"/>
      <c r="Q283" s="40"/>
      <c r="R283" s="40"/>
      <c r="S283" s="41"/>
      <c r="T283" s="41"/>
      <c r="U283" s="33"/>
      <c r="V283" s="41"/>
      <c r="W283" s="43" t="str">
        <f>IF(B282&lt;'Умови та класичний графік'!$J$14,XIRR($G$43:G283,$C$43:C283,0),"")</f>
        <v/>
      </c>
      <c r="X283" s="49"/>
      <c r="Y283" s="35"/>
    </row>
    <row r="284" spans="2:25" x14ac:dyDescent="0.2">
      <c r="B284" s="25"/>
      <c r="C284" s="157" t="s">
        <v>25</v>
      </c>
      <c r="D284" s="157"/>
      <c r="E284" s="157"/>
      <c r="F284" s="157"/>
      <c r="G284" s="176">
        <f>SUM(G44:H283)</f>
        <v>16503561.643835623</v>
      </c>
      <c r="H284" s="177"/>
      <c r="I284" s="50" t="s">
        <v>24</v>
      </c>
      <c r="J284" s="50">
        <f>SUM(J44:J283)</f>
        <v>10000000</v>
      </c>
      <c r="K284" s="50">
        <f t="shared" ref="K284" si="4">SUM(K43:K283)</f>
        <v>6503561.6438356219</v>
      </c>
      <c r="L284" s="51">
        <f>SUM(L43:L283)</f>
        <v>50300</v>
      </c>
      <c r="M284" s="52">
        <f t="shared" ref="M284:V284" si="5">SUM(M43:M283)</f>
        <v>0</v>
      </c>
      <c r="N284" s="50">
        <f t="shared" si="5"/>
        <v>150</v>
      </c>
      <c r="O284" s="50">
        <f t="shared" si="5"/>
        <v>50000</v>
      </c>
      <c r="P284" s="50">
        <f t="shared" si="5"/>
        <v>0</v>
      </c>
      <c r="Q284" s="50">
        <f t="shared" si="5"/>
        <v>0</v>
      </c>
      <c r="R284" s="50">
        <f t="shared" si="5"/>
        <v>0</v>
      </c>
      <c r="S284" s="53">
        <f t="shared" si="5"/>
        <v>0</v>
      </c>
      <c r="T284" s="53">
        <f t="shared" si="5"/>
        <v>0</v>
      </c>
      <c r="U284" s="53">
        <f t="shared" si="5"/>
        <v>0</v>
      </c>
      <c r="V284" s="53">
        <f t="shared" si="5"/>
        <v>150</v>
      </c>
      <c r="W284" s="43" t="str">
        <f>IF(B283&lt;'Умови та класичний графік'!$J$14,XIRR($G$43:G284,$C$43:C284,0),"")</f>
        <v/>
      </c>
      <c r="X284" s="50">
        <f>K284+L284</f>
        <v>6553861.6438356219</v>
      </c>
      <c r="Y284" s="54">
        <f>X284+'Умови та класичний графік'!J13</f>
        <v>16553861.643835623</v>
      </c>
    </row>
    <row r="285" spans="2:25" s="57" customFormat="1" ht="13.7" customHeight="1" x14ac:dyDescent="0.2">
      <c r="B285" s="5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9"/>
      <c r="V285" s="56"/>
    </row>
    <row r="286" spans="2:25" s="57" customFormat="1" x14ac:dyDescent="0.2">
      <c r="B286" s="5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9"/>
      <c r="V286" s="56"/>
    </row>
  </sheetData>
  <protectedRanges>
    <protectedRange sqref="J13:K15 I28:I29" name="Параметри кредиту_1"/>
  </protectedRanges>
  <autoFilter ref="B42:X286" xr:uid="{9F976E4A-E8F9-4CCB-89B6-352916A89167}">
    <filterColumn colId="5" showButton="0"/>
  </autoFilter>
  <mergeCells count="322">
    <mergeCell ref="C285:T285"/>
    <mergeCell ref="C286:T286"/>
    <mergeCell ref="G275:H275"/>
    <mergeCell ref="G276:H276"/>
    <mergeCell ref="G277:H277"/>
    <mergeCell ref="G268:H268"/>
    <mergeCell ref="C284:F284"/>
    <mergeCell ref="G284:H284"/>
    <mergeCell ref="G278:H278"/>
    <mergeCell ref="G279:H279"/>
    <mergeCell ref="G280:H280"/>
    <mergeCell ref="G281:H281"/>
    <mergeCell ref="G282:H282"/>
    <mergeCell ref="G269:H269"/>
    <mergeCell ref="G270:H270"/>
    <mergeCell ref="G271:H271"/>
    <mergeCell ref="G272:H272"/>
    <mergeCell ref="G283:H283"/>
    <mergeCell ref="B3:M6"/>
    <mergeCell ref="B9:M9"/>
    <mergeCell ref="Y38:Y41"/>
    <mergeCell ref="G42:H42"/>
    <mergeCell ref="T10:U10"/>
    <mergeCell ref="X38:X41"/>
    <mergeCell ref="B38:B41"/>
    <mergeCell ref="C38:C41"/>
    <mergeCell ref="F38:F41"/>
    <mergeCell ref="G38:H41"/>
    <mergeCell ref="D38:E40"/>
    <mergeCell ref="W38:W41"/>
    <mergeCell ref="G28:H28"/>
    <mergeCell ref="G29:H29"/>
    <mergeCell ref="O16:U16"/>
    <mergeCell ref="O18:P18"/>
    <mergeCell ref="S18:U18"/>
    <mergeCell ref="G27:I27"/>
    <mergeCell ref="G261:H261"/>
    <mergeCell ref="G262:H262"/>
    <mergeCell ref="G273:H273"/>
    <mergeCell ref="G274:H274"/>
    <mergeCell ref="G82:H82"/>
    <mergeCell ref="G263:H263"/>
    <mergeCell ref="G264:H264"/>
    <mergeCell ref="G265:H265"/>
    <mergeCell ref="G83:H83"/>
    <mergeCell ref="G84:H84"/>
    <mergeCell ref="G85:H85"/>
    <mergeCell ref="G86:H86"/>
    <mergeCell ref="G87:H87"/>
    <mergeCell ref="G88:H88"/>
    <mergeCell ref="G266:H266"/>
    <mergeCell ref="G267:H267"/>
    <mergeCell ref="G90:H90"/>
    <mergeCell ref="G91:H91"/>
    <mergeCell ref="G92:H92"/>
    <mergeCell ref="G93:H93"/>
    <mergeCell ref="G97:H97"/>
    <mergeCell ref="G98:H98"/>
    <mergeCell ref="G99:H99"/>
    <mergeCell ref="G100:H100"/>
    <mergeCell ref="L15:M15"/>
    <mergeCell ref="L17:M17"/>
    <mergeCell ref="L18:M18"/>
    <mergeCell ref="G16:I16"/>
    <mergeCell ref="J16:K16"/>
    <mergeCell ref="L19:M19"/>
    <mergeCell ref="L16:M16"/>
    <mergeCell ref="J14:K14"/>
    <mergeCell ref="G30:H30"/>
    <mergeCell ref="J29:L29"/>
    <mergeCell ref="G43:H43"/>
    <mergeCell ref="G44:H44"/>
    <mergeCell ref="G61:H61"/>
    <mergeCell ref="G62:H62"/>
    <mergeCell ref="G63:H63"/>
    <mergeCell ref="G64:H64"/>
    <mergeCell ref="G65:H65"/>
    <mergeCell ref="G66:H66"/>
    <mergeCell ref="G67:H67"/>
    <mergeCell ref="G49:H49"/>
    <mergeCell ref="G50:H50"/>
    <mergeCell ref="G45:H45"/>
    <mergeCell ref="G46:H46"/>
    <mergeCell ref="G47:H47"/>
    <mergeCell ref="G48:H48"/>
    <mergeCell ref="G51:H51"/>
    <mergeCell ref="G52:H52"/>
    <mergeCell ref="G53:H53"/>
    <mergeCell ref="G54:H54"/>
    <mergeCell ref="G55:H55"/>
    <mergeCell ref="C8:E8"/>
    <mergeCell ref="F8:G8"/>
    <mergeCell ref="K39:K41"/>
    <mergeCell ref="G20:I20"/>
    <mergeCell ref="J38:V38"/>
    <mergeCell ref="J39:J41"/>
    <mergeCell ref="M39:V39"/>
    <mergeCell ref="M40:P40"/>
    <mergeCell ref="Q40:R40"/>
    <mergeCell ref="S40:V40"/>
    <mergeCell ref="I38:I41"/>
    <mergeCell ref="G35:N35"/>
    <mergeCell ref="G34:N34"/>
    <mergeCell ref="G33:N33"/>
    <mergeCell ref="G14:I14"/>
    <mergeCell ref="G15:I15"/>
    <mergeCell ref="J13:K13"/>
    <mergeCell ref="G17:I17"/>
    <mergeCell ref="J17:K17"/>
    <mergeCell ref="J18:K18"/>
    <mergeCell ref="G18:I18"/>
    <mergeCell ref="G13:I13"/>
    <mergeCell ref="G19:I19"/>
    <mergeCell ref="J19:K19"/>
    <mergeCell ref="C7:E7"/>
    <mergeCell ref="F7:G7"/>
    <mergeCell ref="J20:K20"/>
    <mergeCell ref="J21:K21"/>
    <mergeCell ref="G21:I21"/>
    <mergeCell ref="G25:J25"/>
    <mergeCell ref="G36:N36"/>
    <mergeCell ref="N13:U13"/>
    <mergeCell ref="N14:U14"/>
    <mergeCell ref="N15:U15"/>
    <mergeCell ref="N17:U17"/>
    <mergeCell ref="N19:U19"/>
    <mergeCell ref="J15:K15"/>
    <mergeCell ref="G22:I22"/>
    <mergeCell ref="J22:K22"/>
    <mergeCell ref="L14:M14"/>
    <mergeCell ref="N22:U22"/>
    <mergeCell ref="L20:M20"/>
    <mergeCell ref="L21:M21"/>
    <mergeCell ref="L22:M22"/>
    <mergeCell ref="O20:U20"/>
    <mergeCell ref="G32:N32"/>
    <mergeCell ref="O21:U21"/>
    <mergeCell ref="L13:M13"/>
    <mergeCell ref="G68:H68"/>
    <mergeCell ref="G69:H69"/>
    <mergeCell ref="G70:H70"/>
    <mergeCell ref="G56:H56"/>
    <mergeCell ref="G57:H57"/>
    <mergeCell ref="G58:H58"/>
    <mergeCell ref="G59:H59"/>
    <mergeCell ref="G60:H60"/>
    <mergeCell ref="G78:H78"/>
    <mergeCell ref="G76:H76"/>
    <mergeCell ref="G77:H77"/>
    <mergeCell ref="G79:H79"/>
    <mergeCell ref="G71:H71"/>
    <mergeCell ref="G72:H72"/>
    <mergeCell ref="G73:H73"/>
    <mergeCell ref="G74:H74"/>
    <mergeCell ref="G75:H75"/>
    <mergeCell ref="G94:H94"/>
    <mergeCell ref="G95:H95"/>
    <mergeCell ref="G96:H96"/>
    <mergeCell ref="G80:H80"/>
    <mergeCell ref="G81:H81"/>
    <mergeCell ref="G89:H89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249:H249"/>
    <mergeCell ref="G250:H250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60:H26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04:H204"/>
    <mergeCell ref="G205:H205"/>
    <mergeCell ref="G206:H206"/>
    <mergeCell ref="G207:H207"/>
    <mergeCell ref="G208:H20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45:H245"/>
    <mergeCell ref="G246:H246"/>
    <mergeCell ref="G247:H247"/>
    <mergeCell ref="G248:H248"/>
    <mergeCell ref="L39:L41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18:H218"/>
  </mergeCells>
  <conditionalFormatting sqref="J14:K14">
    <cfRule type="cellIs" dxfId="13" priority="8" operator="lessThan">
      <formula>1</formula>
    </cfRule>
    <cfRule type="cellIs" dxfId="12" priority="9" operator="greaterThan">
      <formula>60</formula>
    </cfRule>
    <cfRule type="cellIs" dxfId="11" priority="10" operator="between">
      <formula>0.9</formula>
      <formula>60</formula>
    </cfRule>
  </conditionalFormatting>
  <conditionalFormatting sqref="J13:K13">
    <cfRule type="cellIs" dxfId="10" priority="3" operator="greaterThan">
      <formula>$J$15-$J$15*10%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hyperlinks>
    <hyperlink ref="J29" r:id="rId1" xr:uid="{651071F0-CC7A-4815-B5C2-32977D0DEA5F}"/>
  </hyperlinks>
  <pageMargins left="0.39370078740157483" right="0.39370078740157483" top="0.19685039370078741" bottom="0.27559055118110237" header="0.35433070866141736" footer="0.27559055118110237"/>
  <pageSetup paperSize="9" scale="59" fitToHeight="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topLeftCell="A31" zoomScaleNormal="85" zoomScaleSheetLayoutView="100" workbookViewId="0">
      <selection activeCell="M42" sqref="M42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154" t="s">
        <v>67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24" ht="12.75" customHeight="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2:24" ht="12.75" customHeight="1" x14ac:dyDescent="0.2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2:24" ht="21" customHeight="1" x14ac:dyDescent="0.2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60"/>
      <c r="R6" s="60"/>
      <c r="S6" s="60"/>
      <c r="T6" s="60"/>
      <c r="U6" s="60"/>
      <c r="V6" s="60"/>
      <c r="W6" s="60"/>
      <c r="X6" s="60"/>
    </row>
    <row r="7" spans="2:24" ht="21" x14ac:dyDescent="0.25">
      <c r="B7" s="155" t="s">
        <v>40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158"/>
      <c r="U8" s="158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200" t="s">
        <v>1</v>
      </c>
      <c r="H11" s="201"/>
      <c r="I11" s="202"/>
      <c r="J11" s="203">
        <f>'Умови та класичний графік'!J13:K13</f>
        <v>10000000</v>
      </c>
      <c r="K11" s="204"/>
      <c r="L11" s="205" t="s">
        <v>10</v>
      </c>
      <c r="M11" s="206"/>
      <c r="N11" s="207" t="s">
        <v>54</v>
      </c>
      <c r="O11" s="208"/>
      <c r="P11" s="208"/>
      <c r="Q11" s="208"/>
      <c r="R11" s="208"/>
      <c r="S11" s="208"/>
      <c r="T11" s="208"/>
      <c r="U11" s="209"/>
      <c r="V11" s="64"/>
    </row>
    <row r="12" spans="2:24" ht="12.75" hidden="1" customHeight="1" x14ac:dyDescent="0.2">
      <c r="G12" s="188" t="s">
        <v>2</v>
      </c>
      <c r="H12" s="189"/>
      <c r="I12" s="190"/>
      <c r="J12" s="210">
        <f>'Умови та класичний графік'!J14:K14</f>
        <v>60</v>
      </c>
      <c r="K12" s="211"/>
      <c r="L12" s="193" t="s">
        <v>3</v>
      </c>
      <c r="M12" s="194"/>
      <c r="N12" s="185" t="s">
        <v>34</v>
      </c>
      <c r="O12" s="186"/>
      <c r="P12" s="186"/>
      <c r="Q12" s="186"/>
      <c r="R12" s="186"/>
      <c r="S12" s="186"/>
      <c r="T12" s="186"/>
      <c r="U12" s="187"/>
      <c r="V12" s="64"/>
    </row>
    <row r="13" spans="2:24" ht="12.75" hidden="1" customHeight="1" x14ac:dyDescent="0.2">
      <c r="G13" s="188" t="s">
        <v>55</v>
      </c>
      <c r="H13" s="189"/>
      <c r="I13" s="190"/>
      <c r="J13" s="198">
        <f>'Умови та класичний графік'!J15:K15</f>
        <v>11500000</v>
      </c>
      <c r="K13" s="199"/>
      <c r="L13" s="193" t="s">
        <v>10</v>
      </c>
      <c r="M13" s="194"/>
      <c r="N13" s="185"/>
      <c r="O13" s="186"/>
      <c r="P13" s="186"/>
      <c r="Q13" s="186"/>
      <c r="R13" s="186"/>
      <c r="S13" s="186"/>
      <c r="T13" s="186"/>
      <c r="U13" s="187"/>
      <c r="V13" s="64"/>
    </row>
    <row r="14" spans="2:24" ht="12.75" hidden="1" customHeight="1" x14ac:dyDescent="0.2">
      <c r="G14" s="188" t="s">
        <v>31</v>
      </c>
      <c r="H14" s="189"/>
      <c r="I14" s="190"/>
      <c r="J14" s="191">
        <f>'Умови та класичний графік'!J16:K16</f>
        <v>50000</v>
      </c>
      <c r="K14" s="192"/>
      <c r="L14" s="193" t="s">
        <v>10</v>
      </c>
      <c r="M14" s="194"/>
      <c r="N14" s="195" t="s">
        <v>43</v>
      </c>
      <c r="O14" s="196"/>
      <c r="P14" s="196"/>
      <c r="Q14" s="196"/>
      <c r="R14" s="196"/>
      <c r="S14" s="196"/>
      <c r="T14" s="196"/>
      <c r="U14" s="197"/>
      <c r="V14" s="64"/>
    </row>
    <row r="15" spans="2:24" ht="13.5" hidden="1" customHeight="1" x14ac:dyDescent="0.2">
      <c r="G15" s="188" t="s">
        <v>32</v>
      </c>
      <c r="H15" s="189"/>
      <c r="I15" s="190"/>
      <c r="J15" s="191">
        <v>100</v>
      </c>
      <c r="K15" s="192"/>
      <c r="L15" s="193" t="s">
        <v>10</v>
      </c>
      <c r="M15" s="194"/>
      <c r="N15" s="185" t="s">
        <v>37</v>
      </c>
      <c r="O15" s="186"/>
      <c r="P15" s="186"/>
      <c r="Q15" s="186"/>
      <c r="R15" s="186"/>
      <c r="S15" s="186"/>
      <c r="T15" s="186"/>
      <c r="U15" s="187"/>
    </row>
    <row r="16" spans="2:24" ht="13.5" hidden="1" customHeight="1" x14ac:dyDescent="0.2">
      <c r="G16" s="188" t="s">
        <v>57</v>
      </c>
      <c r="H16" s="189"/>
      <c r="I16" s="190"/>
      <c r="J16" s="191">
        <f>'Умови та класичний графік'!J18:K18</f>
        <v>0</v>
      </c>
      <c r="K16" s="192"/>
      <c r="L16" s="193" t="s">
        <v>10</v>
      </c>
      <c r="M16" s="194"/>
      <c r="N16" s="195" t="s">
        <v>41</v>
      </c>
      <c r="O16" s="196"/>
      <c r="P16" s="196"/>
      <c r="Q16" s="196"/>
      <c r="R16" s="196"/>
      <c r="S16" s="196"/>
      <c r="T16" s="196"/>
      <c r="U16" s="197"/>
    </row>
    <row r="17" spans="2:25" ht="12.75" hidden="1" customHeight="1" x14ac:dyDescent="0.2">
      <c r="G17" s="178" t="s">
        <v>33</v>
      </c>
      <c r="H17" s="179"/>
      <c r="I17" s="180"/>
      <c r="J17" s="181">
        <v>150</v>
      </c>
      <c r="K17" s="182"/>
      <c r="L17" s="183" t="s">
        <v>10</v>
      </c>
      <c r="M17" s="184"/>
      <c r="N17" s="185" t="s">
        <v>35</v>
      </c>
      <c r="O17" s="186"/>
      <c r="P17" s="186"/>
      <c r="Q17" s="186"/>
      <c r="R17" s="186"/>
      <c r="S17" s="186"/>
      <c r="T17" s="186"/>
      <c r="U17" s="187"/>
    </row>
    <row r="18" spans="2:25" ht="12.75" hidden="1" customHeight="1" x14ac:dyDescent="0.2">
      <c r="G18" s="188" t="s">
        <v>58</v>
      </c>
      <c r="H18" s="189"/>
      <c r="I18" s="212"/>
      <c r="J18" s="213">
        <f>'Умови та класичний графік'!J20:K20</f>
        <v>0</v>
      </c>
      <c r="K18" s="214"/>
      <c r="L18" s="215" t="s">
        <v>10</v>
      </c>
      <c r="M18" s="216"/>
      <c r="N18" s="68">
        <v>0</v>
      </c>
      <c r="O18" s="217" t="s">
        <v>59</v>
      </c>
      <c r="P18" s="217"/>
      <c r="Q18" s="217"/>
      <c r="R18" s="217"/>
      <c r="S18" s="217"/>
      <c r="T18" s="217"/>
      <c r="U18" s="218"/>
      <c r="V18" s="59"/>
    </row>
    <row r="19" spans="2:25" ht="12.75" hidden="1" customHeight="1" x14ac:dyDescent="0.2">
      <c r="G19" s="188" t="s">
        <v>38</v>
      </c>
      <c r="H19" s="189"/>
      <c r="I19" s="212"/>
      <c r="J19" s="213">
        <f>'Умови та класичний графік'!J21:K21</f>
        <v>0</v>
      </c>
      <c r="K19" s="214"/>
      <c r="L19" s="215" t="s">
        <v>10</v>
      </c>
      <c r="M19" s="216"/>
      <c r="N19" s="68">
        <v>0</v>
      </c>
      <c r="O19" s="217" t="s">
        <v>60</v>
      </c>
      <c r="P19" s="217"/>
      <c r="Q19" s="217"/>
      <c r="R19" s="217"/>
      <c r="S19" s="217"/>
      <c r="T19" s="217"/>
      <c r="U19" s="218"/>
      <c r="V19" s="59"/>
    </row>
    <row r="20" spans="2:25" ht="12.75" hidden="1" customHeight="1" thickBot="1" x14ac:dyDescent="0.25">
      <c r="G20" s="219" t="s">
        <v>56</v>
      </c>
      <c r="H20" s="220"/>
      <c r="I20" s="221"/>
      <c r="J20" s="222">
        <f>'Умови та класичний графік'!J22:K22</f>
        <v>0.13</v>
      </c>
      <c r="K20" s="223"/>
      <c r="L20" s="224" t="s">
        <v>4</v>
      </c>
      <c r="M20" s="225"/>
      <c r="N20" s="226" t="s">
        <v>47</v>
      </c>
      <c r="O20" s="227"/>
      <c r="P20" s="227"/>
      <c r="Q20" s="227"/>
      <c r="R20" s="227"/>
      <c r="S20" s="227"/>
      <c r="T20" s="227"/>
      <c r="U20" s="228"/>
      <c r="V20" s="59"/>
    </row>
    <row r="21" spans="2:25" ht="12.75" hidden="1" customHeight="1" x14ac:dyDescent="0.2">
      <c r="G21" s="229" t="s">
        <v>42</v>
      </c>
      <c r="H21" s="229"/>
      <c r="I21" s="229"/>
      <c r="J21" s="229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09" t="s">
        <v>75</v>
      </c>
      <c r="H23" s="109"/>
      <c r="I23" s="109"/>
      <c r="J23" s="109"/>
      <c r="K23" s="109"/>
      <c r="L23" s="109"/>
      <c r="M23" s="109"/>
      <c r="N23" s="109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230" t="s">
        <v>46</v>
      </c>
      <c r="H24" s="231"/>
      <c r="I24" s="231"/>
      <c r="J24" s="231"/>
      <c r="K24" s="231"/>
      <c r="L24" s="231"/>
      <c r="M24" s="231"/>
      <c r="N24" s="232"/>
      <c r="O24" s="74">
        <f>MAX(W38:W275)</f>
        <v>0.14064788574218751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230" t="s">
        <v>39</v>
      </c>
      <c r="H25" s="231"/>
      <c r="I25" s="231"/>
      <c r="J25" s="231"/>
      <c r="K25" s="231"/>
      <c r="L25" s="231"/>
      <c r="M25" s="231"/>
      <c r="N25" s="232"/>
      <c r="O25" s="76">
        <f>J14+J15+J16+J17+J18+J19</f>
        <v>50250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230" t="s">
        <v>44</v>
      </c>
      <c r="H26" s="231"/>
      <c r="I26" s="231"/>
      <c r="J26" s="231"/>
      <c r="K26" s="231"/>
      <c r="L26" s="231"/>
      <c r="M26" s="231"/>
      <c r="N26" s="232"/>
      <c r="O26" s="76">
        <f>X275</f>
        <v>3702093.8265344123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230" t="s">
        <v>45</v>
      </c>
      <c r="H27" s="231"/>
      <c r="I27" s="231"/>
      <c r="J27" s="231"/>
      <c r="K27" s="231"/>
      <c r="L27" s="231"/>
      <c r="M27" s="231"/>
      <c r="N27" s="232"/>
      <c r="O27" s="76">
        <f>Y275</f>
        <v>13702093.826534413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56" t="s">
        <v>36</v>
      </c>
      <c r="C29" s="156" t="s">
        <v>26</v>
      </c>
      <c r="D29" s="156" t="s">
        <v>6</v>
      </c>
      <c r="E29" s="156"/>
      <c r="F29" s="159" t="s">
        <v>12</v>
      </c>
      <c r="G29" s="162" t="s">
        <v>48</v>
      </c>
      <c r="H29" s="163"/>
      <c r="I29" s="98" t="s">
        <v>29</v>
      </c>
      <c r="J29" s="135" t="s">
        <v>11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98" t="s">
        <v>49</v>
      </c>
      <c r="X29" s="156" t="s">
        <v>50</v>
      </c>
      <c r="Y29" s="156" t="s">
        <v>51</v>
      </c>
    </row>
    <row r="30" spans="2:25" s="9" customFormat="1" ht="12.75" customHeight="1" x14ac:dyDescent="0.2">
      <c r="B30" s="156"/>
      <c r="C30" s="156"/>
      <c r="D30" s="156"/>
      <c r="E30" s="156"/>
      <c r="F30" s="160"/>
      <c r="G30" s="164"/>
      <c r="H30" s="165"/>
      <c r="I30" s="99"/>
      <c r="J30" s="133" t="s">
        <v>53</v>
      </c>
      <c r="K30" s="133" t="s">
        <v>52</v>
      </c>
      <c r="L30" s="233" t="s">
        <v>30</v>
      </c>
      <c r="M30" s="136" t="s">
        <v>13</v>
      </c>
      <c r="N30" s="137"/>
      <c r="O30" s="137"/>
      <c r="P30" s="137"/>
      <c r="Q30" s="137"/>
      <c r="R30" s="137"/>
      <c r="S30" s="137"/>
      <c r="T30" s="137"/>
      <c r="U30" s="137"/>
      <c r="V30" s="138"/>
      <c r="W30" s="99"/>
      <c r="X30" s="156"/>
      <c r="Y30" s="156"/>
    </row>
    <row r="31" spans="2:25" s="9" customFormat="1" ht="15" customHeight="1" x14ac:dyDescent="0.2">
      <c r="B31" s="156"/>
      <c r="C31" s="156"/>
      <c r="D31" s="156"/>
      <c r="E31" s="156"/>
      <c r="F31" s="160"/>
      <c r="G31" s="164"/>
      <c r="H31" s="165"/>
      <c r="I31" s="99"/>
      <c r="J31" s="134"/>
      <c r="K31" s="134"/>
      <c r="L31" s="234"/>
      <c r="M31" s="136" t="s">
        <v>14</v>
      </c>
      <c r="N31" s="137"/>
      <c r="O31" s="137"/>
      <c r="P31" s="138"/>
      <c r="Q31" s="139" t="s">
        <v>17</v>
      </c>
      <c r="R31" s="140"/>
      <c r="S31" s="139" t="s">
        <v>20</v>
      </c>
      <c r="T31" s="141"/>
      <c r="U31" s="141"/>
      <c r="V31" s="140"/>
      <c r="W31" s="99"/>
      <c r="X31" s="156"/>
      <c r="Y31" s="156"/>
    </row>
    <row r="32" spans="2:25" s="9" customFormat="1" ht="55.5" customHeight="1" x14ac:dyDescent="0.2">
      <c r="B32" s="156"/>
      <c r="C32" s="156"/>
      <c r="D32" s="65" t="s">
        <v>7</v>
      </c>
      <c r="E32" s="65" t="s">
        <v>8</v>
      </c>
      <c r="F32" s="161"/>
      <c r="G32" s="164"/>
      <c r="H32" s="165"/>
      <c r="I32" s="100"/>
      <c r="J32" s="134"/>
      <c r="K32" s="134"/>
      <c r="L32" s="23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00"/>
      <c r="X32" s="156"/>
      <c r="Y32" s="156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157">
        <v>6</v>
      </c>
      <c r="H33" s="157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46">
        <f>-('Умови та класичний графік'!J13-L34)</f>
        <v>-9949750</v>
      </c>
      <c r="H34" s="147"/>
      <c r="I34" s="29" t="s">
        <v>24</v>
      </c>
      <c r="J34" s="28" t="s">
        <v>24</v>
      </c>
      <c r="K34" s="28" t="s">
        <v>24</v>
      </c>
      <c r="L34" s="30">
        <f>SUM(M34:V34)</f>
        <v>50250</v>
      </c>
      <c r="M34" s="31">
        <v>0</v>
      </c>
      <c r="N34" s="31">
        <v>100</v>
      </c>
      <c r="O34" s="32">
        <f>J14</f>
        <v>50000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J16</f>
        <v>0</v>
      </c>
      <c r="T34" s="33">
        <f>SUM(T35:T274)</f>
        <v>0</v>
      </c>
      <c r="U34" s="33">
        <f>J18+J19</f>
        <v>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48">
        <f>-(SUM(J35:L35))</f>
        <v>227530.73044224019</v>
      </c>
      <c r="H35" s="148"/>
      <c r="I35" s="32">
        <f>'Умови та класичний графік'!J13+J35</f>
        <v>9880802.6028910931</v>
      </c>
      <c r="J35" s="32">
        <f>PPMT($J$20/12,B35,$J$12,$J$11,0,0)</f>
        <v>-119197.39710890687</v>
      </c>
      <c r="K35" s="32">
        <f>IPMT($J$20/12,B35,$J$12,$J$11,0,0)</f>
        <v>-108333.33333333334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48">
        <f t="shared" ref="G36" si="3">-(SUM(J36:L36))</f>
        <v>227530.73044224028</v>
      </c>
      <c r="H36" s="148"/>
      <c r="I36" s="32">
        <f>I35+J36</f>
        <v>9760313.9006468393</v>
      </c>
      <c r="J36" s="32">
        <f t="shared" ref="J36" si="4">PPMT($J$20/12,B36,$J$12,$J$11,0,0)</f>
        <v>-120488.70224425339</v>
      </c>
      <c r="K36" s="32">
        <f t="shared" ref="K36" si="5">IPMT($J$20/12,B36,$J$12,$J$11,0,0)</f>
        <v>-107042.02819798689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графік'!$J$14,XIRR($G$34:G36,$C$34:C36,0),"")</f>
        <v>-0.9999999998030632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48">
        <f>IF(B36&lt;'Умови та класичний графік'!$J$14,-(SUM(J37:L37)),"")</f>
        <v>227530.73044224025</v>
      </c>
      <c r="H37" s="148"/>
      <c r="I37" s="32">
        <f>IF(B36&lt;'Умови та класичний графік'!$J$14,I36+J37,"")</f>
        <v>9638519.9041282739</v>
      </c>
      <c r="J37" s="32">
        <f>IF(B36&lt;'Умови та класичний графік'!$J$14,PPMT($J$20/12,B37,$J$12,$J$11,0,0),"")</f>
        <v>-121793.9965185661</v>
      </c>
      <c r="K37" s="32">
        <f>IF(B36&lt;'Умови та класичний графік'!$J$14,IPMT($J$20/12,B37,$J$12,$J$11,0,0),"")</f>
        <v>-105736.73392367414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-0.99999910211192633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48">
        <f>IF(B37&lt;'Умови та класичний графік'!$J$14,-(SUM(J38:L38)),"")</f>
        <v>227530.73044224019</v>
      </c>
      <c r="H38" s="148"/>
      <c r="I38" s="32">
        <f>IF(B37&lt;'Умови та класичний графік'!$J$14,I37+J38,"")</f>
        <v>9515406.4726474229</v>
      </c>
      <c r="J38" s="32">
        <f>IF(B37&lt;'Умови та класичний графік'!$J$14,PPMT($J$20/12,B38,$J$12,$J$11,0,0),"")</f>
        <v>-123113.43148085057</v>
      </c>
      <c r="K38" s="32">
        <f>IF(B37&lt;'Умови та класичний графік'!$J$14,IPMT($J$20/12,B38,$J$12,$J$11,0,0),"")</f>
        <v>-104417.29896138964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-0.99994579523262783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48">
        <f>IF(B38&lt;'Умови та класичний графік'!$J$14,-(SUM(J39:L39)),"")</f>
        <v>227530.73044224019</v>
      </c>
      <c r="H39" s="148"/>
      <c r="I39" s="32">
        <f>IF(B38&lt;'Умови та класичний графік'!$J$14,I38+J39,"")</f>
        <v>9390959.3123255298</v>
      </c>
      <c r="J39" s="32">
        <f>IF(B38&lt;'Умови та класичний графік'!$J$14,PPMT($J$20/12,B39,$J$12,$J$11,0,0),"")</f>
        <v>-124447.16032189313</v>
      </c>
      <c r="K39" s="32">
        <f>IF(B38&lt;'Умови та класичний графік'!$J$14,IPMT($J$20/12,B39,$J$12,$J$11,0,0),"")</f>
        <v>-103083.57012034708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-0.99937183595721379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48">
        <f>IF(B39&lt;'Умови та класичний графік'!$J$14,-(SUM(J40:L40)),"")</f>
        <v>227530.73044224025</v>
      </c>
      <c r="H40" s="148"/>
      <c r="I40" s="32">
        <f>IF(B39&lt;'Умови та класичний графік'!$J$14,I39+J40,"")</f>
        <v>9265163.9744334836</v>
      </c>
      <c r="J40" s="32">
        <f>IF(B39&lt;'Умови та класичний графік'!$J$14,PPMT($J$20/12,B40,$J$12,$J$11,0,0),"")</f>
        <v>-125795.33789204697</v>
      </c>
      <c r="K40" s="32">
        <f>IF(B39&lt;'Умови та класичний графік'!$J$14,IPMT($J$20/12,B40,$J$12,$J$11,0,0),"")</f>
        <v>-101735.39255019327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-0.99694842637176606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48">
        <f>IF(B40&lt;'Умови та класичний графік'!$J$14,-(SUM(J41:L41)),"")</f>
        <v>227530.73044224028</v>
      </c>
      <c r="H41" s="148"/>
      <c r="I41" s="32">
        <f>IF(B40&lt;'Умови та класичний графік'!$J$14,I40+J41,"")</f>
        <v>9138005.8537142724</v>
      </c>
      <c r="J41" s="32">
        <f>IF(B40&lt;'Умови та класичний графік'!$J$14,PPMT($J$20/12,B41,$J$12,$J$11,0,0),"")</f>
        <v>-127158.12071921083</v>
      </c>
      <c r="K41" s="32">
        <f>IF(B40&lt;'Умови та класичний графік'!$J$14,IPMT($J$20/12,B41,$J$12,$J$11,0,0),"")</f>
        <v>-100372.60972302945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-0.99072692410078833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48">
        <f>IF(B41&lt;'Умови та класичний графік'!$J$14,-(SUM(J42:L42)),"")</f>
        <v>227530.73044224025</v>
      </c>
      <c r="H42" s="148"/>
      <c r="I42" s="32">
        <f>IF(B41&lt;'Умови та класичний графік'!$J$14,I41+J42,"")</f>
        <v>9009470.1866872702</v>
      </c>
      <c r="J42" s="32">
        <f>IF(B41&lt;'Умови та класичний графік'!$J$14,PPMT($J$20/12,B42,$J$12,$J$11,0,0),"")</f>
        <v>-128535.66702700226</v>
      </c>
      <c r="K42" s="32">
        <f>IF(B41&lt;'Умови та класичний графік'!$J$14,IPMT($J$20/12,B42,$J$12,$J$11,0,0),"")</f>
        <v>-98995.063415237979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-0.97906032469151549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48">
        <f>IF(B42&lt;'Умови та класичний графік'!$J$14,-(SUM(J43:L43)),"")</f>
        <v>227530.73044224022</v>
      </c>
      <c r="H43" s="148"/>
      <c r="I43" s="32">
        <f>IF(B42&lt;'Умови та класичний графік'!$J$14,I42+J43,"")</f>
        <v>8879542.0499341413</v>
      </c>
      <c r="J43" s="32">
        <f>IF(B42&lt;'Умови та класичний графік'!$J$14,PPMT($J$20/12,B43,$J$12,$J$11,0,0),"")</f>
        <v>-129928.1367531281</v>
      </c>
      <c r="K43" s="32">
        <f>IF(B42&lt;'Умови та класичний графік'!$J$14,IPMT($J$20/12,B43,$J$12,$J$11,0,0),"")</f>
        <v>-97602.593689112124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-0.9613187865731494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48">
        <f>IF(B43&lt;'Умови та класичний графік'!$J$14,-(SUM(J44:L44)),"")</f>
        <v>227530.73044224025</v>
      </c>
      <c r="H44" s="148"/>
      <c r="I44" s="32">
        <f>IF(B43&lt;'Умови та класичний графік'!$J$14,I43+J44,"")</f>
        <v>8748206.3583661877</v>
      </c>
      <c r="J44" s="32">
        <f>IF(B43&lt;'Умови та класичний графік'!$J$14,PPMT($J$20/12,B44,$J$12,$J$11,0,0),"")</f>
        <v>-131335.69156795368</v>
      </c>
      <c r="K44" s="32">
        <f>IF(B43&lt;'Умови та класичний графік'!$J$14,IPMT($J$20/12,B44,$J$12,$J$11,0,0),"")</f>
        <v>-96195.038874286576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-0.93741975906951347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48">
        <f>IF(B44&lt;'Умови та класичний графік'!$J$14,-(SUM(J45:L45)),"")</f>
        <v>227530.73044224025</v>
      </c>
      <c r="H45" s="148"/>
      <c r="I45" s="32">
        <f>IF(B44&lt;'Умови та класичний графік'!$J$14,I44+J45,"")</f>
        <v>8615447.8634729143</v>
      </c>
      <c r="J45" s="32">
        <f>IF(B44&lt;'Умови та класичний графік'!$J$14,PPMT($J$20/12,B45,$J$12,$J$11,0,0),"")</f>
        <v>-132758.49489327316</v>
      </c>
      <c r="K45" s="32">
        <f>IF(B44&lt;'Умови та класичний графік'!$J$14,IPMT($J$20/12,B45,$J$12,$J$11,0,0),"")</f>
        <v>-94772.235548967074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-0.90823048854012045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48">
        <f>IF(B45&lt;'Умови та класичний графік'!$J$14,-(SUM(J46:L46)),"")</f>
        <v>227530.73044224025</v>
      </c>
      <c r="H46" s="148"/>
      <c r="I46" s="32">
        <f>IF(B45&lt;'Умови та класичний графік'!$J$14,I45+J46,"")</f>
        <v>8481251.1515516303</v>
      </c>
      <c r="J46" s="32">
        <f>IF(B45&lt;'Умови та класичний графік'!$J$14,PPMT($J$20/12,B46,$J$12,$J$11,0,0),"")</f>
        <v>-134196.71192128366</v>
      </c>
      <c r="K46" s="32">
        <f>IF(B45&lt;'Умови та класичний графік'!$J$14,IPMT($J$20/12,B46,$J$12,$J$11,0,0),"")</f>
        <v>-93334.018520956612</v>
      </c>
      <c r="L46" s="30">
        <f>IF(B45&lt;'Умови та класичний графік'!$J$14,-(SUM(M46:V46)),"")</f>
        <v>0</v>
      </c>
      <c r="M46" s="38"/>
      <c r="N46" s="39"/>
      <c r="O46" s="39"/>
      <c r="P46" s="32"/>
      <c r="Q46" s="40"/>
      <c r="R46" s="40"/>
      <c r="S46" s="41"/>
      <c r="T46" s="41"/>
      <c r="U46" s="33"/>
      <c r="V46" s="41"/>
      <c r="W46" s="43">
        <f>IF(B45&lt;'Умови та класичний графік'!$J$14,XIRR($G$34:G46,$C$34:C46,0),"")</f>
        <v>-0.87453543690867719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графік'!$J$14,EDATE(C46,1),"")</f>
        <v>44593</v>
      </c>
      <c r="D47" s="36">
        <f>IF(B46&lt;'Умови та класичний графік'!$J$14,C46,"")</f>
        <v>44562</v>
      </c>
      <c r="E47" s="26">
        <f>IF(B46&lt;'Умови та класичний графік'!$J$14,C47-1,"")</f>
        <v>44592</v>
      </c>
      <c r="F47" s="37">
        <f>IF(B46&lt;'Умови та класичний графік'!$J$14,E47-D47+1,"")</f>
        <v>31</v>
      </c>
      <c r="G47" s="148">
        <f>IF(B46&lt;'Умови та класичний графік'!$J$14,-(SUM(J47:L47)),"")</f>
        <v>227530.73044224022</v>
      </c>
      <c r="H47" s="148"/>
      <c r="I47" s="32">
        <f>IF(B46&lt;'Умови та класичний графік'!$J$14,I46+J47,"")</f>
        <v>8345600.6419178657</v>
      </c>
      <c r="J47" s="32">
        <f>IF(B46&lt;'Умови та класичний графік'!$J$14,PPMT($J$20/12,B47,$J$12,$J$11,0,0),"")</f>
        <v>-135650.50963376419</v>
      </c>
      <c r="K47" s="32">
        <f>IF(B46&lt;'Умови та класичний графік'!$J$14,IPMT($J$20/12,B47,$J$12,$J$11,0,0),"")</f>
        <v>-91880.220808476035</v>
      </c>
      <c r="L47" s="30">
        <f>IF(B46&lt;'Умови та класичний графік'!$J$14,-(SUM(M47:V47)),"")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графік'!$J$14,XIRR($G$34:G47,$C$34:C47,0),"")</f>
        <v>-0.83743370469637213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графік'!$J$14,EDATE(C47,1),"")</f>
        <v>44621</v>
      </c>
      <c r="D48" s="36">
        <f>IF(B47&lt;'Умови та класичний графік'!$J$14,C47,"")</f>
        <v>44593</v>
      </c>
      <c r="E48" s="26">
        <f>IF(B47&lt;'Умови та класичний графік'!$J$14,C48-1,"")</f>
        <v>44620</v>
      </c>
      <c r="F48" s="37">
        <f>IF(B47&lt;'Умови та класичний графік'!$J$14,E48-D48+1,"")</f>
        <v>28</v>
      </c>
      <c r="G48" s="148">
        <f>IF(B47&lt;'Умови та класичний графік'!$J$14,-(SUM(J48:L48)),"")</f>
        <v>227530.73044224025</v>
      </c>
      <c r="H48" s="148"/>
      <c r="I48" s="32">
        <f>IF(B47&lt;'Умови та класичний графік'!$J$14,I47+J48,"")</f>
        <v>8208480.5850964021</v>
      </c>
      <c r="J48" s="32">
        <f>IF(B47&lt;'Умови та класичний графік'!$J$14,PPMT($J$20/12,B48,$J$12,$J$11,0,0),"")</f>
        <v>-137120.05682146334</v>
      </c>
      <c r="K48" s="32">
        <f>IF(B47&lt;'Умови та класичний графік'!$J$14,IPMT($J$20/12,B48,$J$12,$J$11,0,0),"")</f>
        <v>-90410.673620776899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графік'!$J$14,XIRR($G$34:G48,$C$34:C48,0),"")</f>
        <v>-0.79847104467667618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графік'!$J$14,EDATE(C48,1),"")</f>
        <v>44652</v>
      </c>
      <c r="D49" s="36">
        <f>IF(B48&lt;'Умови та класичний графік'!$J$14,C48,"")</f>
        <v>44621</v>
      </c>
      <c r="E49" s="26">
        <f>IF(B48&lt;'Умови та класичний графік'!$J$14,C49-1,"")</f>
        <v>44651</v>
      </c>
      <c r="F49" s="37">
        <f>IF(B48&lt;'Умови та класичний графік'!$J$14,E49-D49+1,"")</f>
        <v>31</v>
      </c>
      <c r="G49" s="148">
        <f>IF(B48&lt;'Умови та класичний графік'!$J$14,-(SUM(J49:L49)),"")</f>
        <v>227530.73044224025</v>
      </c>
      <c r="H49" s="148"/>
      <c r="I49" s="32">
        <f>IF(B48&lt;'Умови та класичний графік'!$J$14,I48+J49,"")</f>
        <v>8069875.0609927066</v>
      </c>
      <c r="J49" s="32">
        <f>IF(B48&lt;'Умови та класичний графік'!$J$14,PPMT($J$20/12,B49,$J$12,$J$11,0,0),"")</f>
        <v>-138605.52410369585</v>
      </c>
      <c r="K49" s="32">
        <f>IF(B48&lt;'Умови та класичний графік'!$J$14,IPMT($J$20/12,B49,$J$12,$J$11,0,0),"")</f>
        <v>-88925.206338544391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графік'!$J$14,XIRR($G$34:G49,$C$34:C49,0),"")</f>
        <v>-0.75794915764324378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графік'!$J$14,EDATE(C49,1),"")</f>
        <v>44682</v>
      </c>
      <c r="D50" s="36">
        <f>IF(B49&lt;'Умови та класичний графік'!$J$14,C49,"")</f>
        <v>44652</v>
      </c>
      <c r="E50" s="26">
        <f>IF(B49&lt;'Умови та класичний графік'!$J$14,C50-1,"")</f>
        <v>44681</v>
      </c>
      <c r="F50" s="37">
        <f>IF(B49&lt;'Умови та класичний графік'!$J$14,E50-D50+1,"")</f>
        <v>30</v>
      </c>
      <c r="G50" s="148">
        <f>IF(B49&lt;'Умови та класичний графік'!$J$14,-(SUM(J50:L50)),"")</f>
        <v>227530.73044224025</v>
      </c>
      <c r="H50" s="148"/>
      <c r="I50" s="32">
        <f>IF(B49&lt;'Умови та класичний графік'!$J$14,I49+J50,"")</f>
        <v>7929767.9770445544</v>
      </c>
      <c r="J50" s="32">
        <f>IF(B49&lt;'Умови та класичний графік'!$J$14,PPMT($J$20/12,B50,$J$12,$J$11,0,0),"")</f>
        <v>-140107.08394815255</v>
      </c>
      <c r="K50" s="32">
        <f>IF(B49&lt;'Умови та класичний графік'!$J$14,IPMT($J$20/12,B50,$J$12,$J$11,0,0),"")</f>
        <v>-87423.646494087705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графік'!$J$14,XIRR($G$34:G50,$C$34:C50,0),"")</f>
        <v>-0.71680698617570093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графік'!$J$14,EDATE(C50,1),"")</f>
        <v>44713</v>
      </c>
      <c r="D51" s="36">
        <f>IF(B50&lt;'Умови та класичний графік'!$J$14,C50,"")</f>
        <v>44682</v>
      </c>
      <c r="E51" s="26">
        <f>IF(B50&lt;'Умови та класичний графік'!$J$14,C51-1,"")</f>
        <v>44712</v>
      </c>
      <c r="F51" s="37">
        <f>IF(B50&lt;'Умови та класичний графік'!$J$14,E51-D51+1,"")</f>
        <v>31</v>
      </c>
      <c r="G51" s="148">
        <f>IF(B50&lt;'Умови та класичний графік'!$J$14,-(SUM(J51:L51)),"")</f>
        <v>227530.73044224025</v>
      </c>
      <c r="H51" s="148"/>
      <c r="I51" s="32">
        <f>IF(B50&lt;'Умови та класичний графік'!$J$14,I50+J51,"")</f>
        <v>7788143.0663536303</v>
      </c>
      <c r="J51" s="32">
        <f>IF(B50&lt;'Умови та класичний графік'!$J$14,PPMT($J$20/12,B51,$J$12,$J$11,0,0),"")</f>
        <v>-141624.91069092421</v>
      </c>
      <c r="K51" s="32">
        <f>IF(B50&lt;'Умови та класичний графік'!$J$14,IPMT($J$20/12,B51,$J$12,$J$11,0,0),"")</f>
        <v>-85905.819751316041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графік'!$J$14,XIRR($G$34:G51,$C$34:C51,0),"")</f>
        <v>-0.6755161026065799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графік'!$J$14,EDATE(C51,1),"")</f>
        <v>44743</v>
      </c>
      <c r="D52" s="36">
        <f>IF(B51&lt;'Умови та класичний графік'!$J$14,C51,"")</f>
        <v>44713</v>
      </c>
      <c r="E52" s="26">
        <f>IF(B51&lt;'Умови та класичний графік'!$J$14,C52-1,"")</f>
        <v>44742</v>
      </c>
      <c r="F52" s="37">
        <f>IF(B51&lt;'Умови та класичний графік'!$J$14,E52-D52+1,"")</f>
        <v>30</v>
      </c>
      <c r="G52" s="148">
        <f>IF(B51&lt;'Умови та класичний графік'!$J$14,-(SUM(J52:L52)),"")</f>
        <v>227530.73044224022</v>
      </c>
      <c r="H52" s="148"/>
      <c r="I52" s="32">
        <f>IF(B51&lt;'Умови та класичний графік'!$J$14,I51+J52,"")</f>
        <v>7644983.8857968878</v>
      </c>
      <c r="J52" s="32">
        <f>IF(B51&lt;'Умови та класичний графік'!$J$14,PPMT($J$20/12,B52,$J$12,$J$11,0,0),"")</f>
        <v>-143159.18055674253</v>
      </c>
      <c r="K52" s="32">
        <f>IF(B51&lt;'Умови та класичний графік'!$J$14,IPMT($J$20/12,B52,$J$12,$J$11,0,0),"")</f>
        <v>-84371.54988549769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графік'!$J$14,XIRR($G$34:G52,$C$34:C52,0),"")</f>
        <v>-0.63469680627100178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графік'!$J$14,EDATE(C52,1),"")</f>
        <v>44774</v>
      </c>
      <c r="D53" s="36">
        <f>IF(B52&lt;'Умови та класичний графік'!$J$14,C52,"")</f>
        <v>44743</v>
      </c>
      <c r="E53" s="26">
        <f>IF(B52&lt;'Умови та класичний графік'!$J$14,C53-1,"")</f>
        <v>44773</v>
      </c>
      <c r="F53" s="37">
        <f>IF(B52&lt;'Умови та класичний графік'!$J$14,E53-D53+1,"")</f>
        <v>31</v>
      </c>
      <c r="G53" s="148">
        <f>IF(B52&lt;'Умови та класичний графік'!$J$14,-(SUM(J53:L53)),"")</f>
        <v>227530.73044224025</v>
      </c>
      <c r="H53" s="148"/>
      <c r="I53" s="32">
        <f>IF(B52&lt;'Умови та класичний графік'!$J$14,I52+J53,"")</f>
        <v>7500273.8141174475</v>
      </c>
      <c r="J53" s="32">
        <f>IF(B52&lt;'Умови та класичний графік'!$J$14,PPMT($J$20/12,B53,$J$12,$J$11,0,0),"")</f>
        <v>-144710.07167944059</v>
      </c>
      <c r="K53" s="32">
        <f>IF(B52&lt;'Умови та класичний графік'!$J$14,IPMT($J$20/12,B53,$J$12,$J$11,0,0),"")</f>
        <v>-82820.658762799649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графік'!$J$14,XIRR($G$34:G53,$C$34:C53,0),"")</f>
        <v>-0.59459682649649681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графік'!$J$14,EDATE(C53,1),"")</f>
        <v>44805</v>
      </c>
      <c r="D54" s="36">
        <f>IF(B53&lt;'Умови та класичний графік'!$J$14,C53,"")</f>
        <v>44774</v>
      </c>
      <c r="E54" s="26">
        <f>IF(B53&lt;'Умови та класичний графік'!$J$14,C54-1,"")</f>
        <v>44804</v>
      </c>
      <c r="F54" s="37">
        <f>IF(B53&lt;'Умови та класичний графік'!$J$14,E54-D54+1,"")</f>
        <v>31</v>
      </c>
      <c r="G54" s="148">
        <f>IF(B53&lt;'Умови та класичний графік'!$J$14,-(SUM(J54:L54)),"")</f>
        <v>227530.73044224022</v>
      </c>
      <c r="H54" s="148"/>
      <c r="I54" s="32">
        <f>IF(B53&lt;'Умови та класичний графік'!$J$14,I53+J54,"")</f>
        <v>7353996.0499948133</v>
      </c>
      <c r="J54" s="32">
        <f>IF(B53&lt;'Умови та класичний графік'!$J$14,PPMT($J$20/12,B54,$J$12,$J$11,0,0),"")</f>
        <v>-146277.76412263451</v>
      </c>
      <c r="K54" s="32">
        <f>IF(B53&lt;'Умови та класичний графік'!$J$14,IPMT($J$20/12,B54,$J$12,$J$11,0,0),"")</f>
        <v>-81252.966319605708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графік'!$J$14,XIRR($G$34:G54,$C$34:C54,0),"")</f>
        <v>-0.5555074631702156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графік'!$J$14,EDATE(C54,1),"")</f>
        <v>44835</v>
      </c>
      <c r="D55" s="36">
        <f>IF(B54&lt;'Умови та класичний графік'!$J$14,C54,"")</f>
        <v>44805</v>
      </c>
      <c r="E55" s="26">
        <f>IF(B54&lt;'Умови та класичний графік'!$J$14,C55-1,"")</f>
        <v>44834</v>
      </c>
      <c r="F55" s="37">
        <f>IF(B54&lt;'Умови та класичний графік'!$J$14,E55-D55+1,"")</f>
        <v>30</v>
      </c>
      <c r="G55" s="148">
        <f>IF(B54&lt;'Умови та класичний графік'!$J$14,-(SUM(J55:L55)),"")</f>
        <v>227530.73044224025</v>
      </c>
      <c r="H55" s="148"/>
      <c r="I55" s="32">
        <f>IF(B54&lt;'Умови та класичний графік'!$J$14,I54+J55,"")</f>
        <v>7206133.6100941831</v>
      </c>
      <c r="J55" s="32">
        <f>IF(B54&lt;'Умови та класичний графік'!$J$14,PPMT($J$20/12,B55,$J$12,$J$11,0,0),"")</f>
        <v>-147862.43990062975</v>
      </c>
      <c r="K55" s="32">
        <f>IF(B54&lt;'Умови та класичний графік'!$J$14,IPMT($J$20/12,B55,$J$12,$J$11,0,0),"")</f>
        <v>-79668.290541610506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графік'!$J$14,XIRR($G$34:G55,$C$34:C55,0),"")</f>
        <v>-0.51770577081166202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графік'!$J$14,EDATE(C55,1),"")</f>
        <v>44866</v>
      </c>
      <c r="D56" s="36">
        <f>IF(B55&lt;'Умови та класичний графік'!$J$14,C55,"")</f>
        <v>44835</v>
      </c>
      <c r="E56" s="26">
        <f>IF(B55&lt;'Умови та класичний графік'!$J$14,C56-1,"")</f>
        <v>44865</v>
      </c>
      <c r="F56" s="37">
        <f>IF(B55&lt;'Умови та класичний графік'!$J$14,E56-D56+1,"")</f>
        <v>31</v>
      </c>
      <c r="G56" s="148">
        <f>IF(B55&lt;'Умови та класичний графік'!$J$14,-(SUM(J56:L56)),"")</f>
        <v>227530.73044224025</v>
      </c>
      <c r="H56" s="148"/>
      <c r="I56" s="32">
        <f>IF(B55&lt;'Умови та класичний графік'!$J$14,I55+J56,"")</f>
        <v>7056669.3270946303</v>
      </c>
      <c r="J56" s="32">
        <f>IF(B55&lt;'Умови та класичний графік'!$J$14,PPMT($J$20/12,B56,$J$12,$J$11,0,0),"")</f>
        <v>-149464.28299955322</v>
      </c>
      <c r="K56" s="32">
        <f>IF(B55&lt;'Умови та класичний графік'!$J$14,IPMT($J$20/12,B56,$J$12,$J$11,0,0),"")</f>
        <v>-78066.447442687029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графік'!$J$14,XIRR($G$34:G56,$C$34:C56,0),"")</f>
        <v>-0.48123423220656802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графік'!$J$14,EDATE(C56,1),"")</f>
        <v>44896</v>
      </c>
      <c r="D57" s="36">
        <f>IF(B56&lt;'Умови та класичний графік'!$J$14,C56,"")</f>
        <v>44866</v>
      </c>
      <c r="E57" s="26">
        <f>IF(B56&lt;'Умови та класичний графік'!$J$14,C57-1,"")</f>
        <v>44895</v>
      </c>
      <c r="F57" s="37">
        <f>IF(B56&lt;'Умови та класичний графік'!$J$14,E57-D57+1,"")</f>
        <v>30</v>
      </c>
      <c r="G57" s="148">
        <f>IF(B56&lt;'Умови та класичний графік'!$J$14,-(SUM(J57:L57)),"")</f>
        <v>227530.73044224025</v>
      </c>
      <c r="H57" s="148"/>
      <c r="I57" s="32">
        <f>IF(B56&lt;'Умови та класичний графік'!$J$14,I56+J57,"")</f>
        <v>6905585.847695915</v>
      </c>
      <c r="J57" s="32">
        <f>IF(B56&lt;'Умови та класичний графік'!$J$14,PPMT($J$20/12,B57,$J$12,$J$11,0,0),"")</f>
        <v>-151083.47939871505</v>
      </c>
      <c r="K57" s="32">
        <f>IF(B56&lt;'Умови та класичний графік'!$J$14,IPMT($J$20/12,B57,$J$12,$J$11,0,0),"")</f>
        <v>-76447.25104352519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графік'!$J$14,XIRR($G$34:G57,$C$34:C57,0),"")</f>
        <v>-0.44623613548807795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графік'!$J$14,EDATE(C57,1),"")</f>
        <v>44927</v>
      </c>
      <c r="D58" s="36">
        <f>IF(B57&lt;'Умови та класичний графік'!$J$14,C57,"")</f>
        <v>44896</v>
      </c>
      <c r="E58" s="26">
        <f>IF(B57&lt;'Умови та класичний графік'!$J$14,C58-1,"")</f>
        <v>44926</v>
      </c>
      <c r="F58" s="37">
        <f>IF(B57&lt;'Умови та класичний графік'!$J$14,E58-D58+1,"")</f>
        <v>31</v>
      </c>
      <c r="G58" s="148">
        <f>IF(B57&lt;'Умови та класичний графік'!$J$14,-(SUM(J58:L58)),"")</f>
        <v>227530.73044224025</v>
      </c>
      <c r="H58" s="148"/>
      <c r="I58" s="32">
        <f>IF(B57&lt;'Умови та класичний графік'!$J$14,I57+J58,"")</f>
        <v>6752865.6306037139</v>
      </c>
      <c r="J58" s="32">
        <f>IF(B57&lt;'Умови та класичний графік'!$J$14,PPMT($J$20/12,B58,$J$12,$J$11,0,0),"")</f>
        <v>-152720.21709220114</v>
      </c>
      <c r="K58" s="32">
        <f>IF(B57&lt;'Умови та класичний графік'!$J$14,IPMT($J$20/12,B58,$J$12,$J$11,0,0),"")</f>
        <v>-74810.513350039109</v>
      </c>
      <c r="L58" s="30">
        <f>IF(B57&lt;'Умови та класичний графік'!$J$14,-(SUM(M58:V58)),"")</f>
        <v>0</v>
      </c>
      <c r="M58" s="38"/>
      <c r="N58" s="39"/>
      <c r="O58" s="39"/>
      <c r="P58" s="32"/>
      <c r="Q58" s="40"/>
      <c r="R58" s="40"/>
      <c r="S58" s="41"/>
      <c r="T58" s="41"/>
      <c r="U58" s="33"/>
      <c r="V58" s="41"/>
      <c r="W58" s="43">
        <f>IF(B57&lt;'Умови та класичний графік'!$J$14,XIRR($G$34:G58,$C$34:C58,0),"")</f>
        <v>-0.41268741552151744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графік'!$J$14,EDATE(C58,1),"")</f>
        <v>44958</v>
      </c>
      <c r="D59" s="36">
        <f>IF(B58&lt;'Умови та класичний графік'!$J$14,C58,"")</f>
        <v>44927</v>
      </c>
      <c r="E59" s="26">
        <f>IF(B58&lt;'Умови та класичний графік'!$J$14,C59-1,"")</f>
        <v>44957</v>
      </c>
      <c r="F59" s="37">
        <f>IF(B58&lt;'Умови та класичний графік'!$J$14,E59-D59+1,"")</f>
        <v>31</v>
      </c>
      <c r="G59" s="148">
        <f>IF(B58&lt;'Умови та класичний графік'!$J$14,-(SUM(J59:L59)),"")</f>
        <v>227530.73044224025</v>
      </c>
      <c r="H59" s="148"/>
      <c r="I59" s="32">
        <f>IF(B58&lt;'Умови та класичний графік'!$J$14,I58+J59,"")</f>
        <v>6598490.9444930144</v>
      </c>
      <c r="J59" s="32">
        <f>IF(B58&lt;'Умови та класичний графік'!$J$14,PPMT($J$20/12,B59,$J$12,$J$11,0,0),"")</f>
        <v>-154374.68611069999</v>
      </c>
      <c r="K59" s="32">
        <f>IF(B58&lt;'Умови та класичний графік'!$J$14,IPMT($J$20/12,B59,$J$12,$J$11,0,0),"")</f>
        <v>-73156.044331540252</v>
      </c>
      <c r="L59" s="30">
        <f>IF(B58&lt;'Умови та класичний графік'!$J$14,-(SUM(M59:V59)),"")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графік'!$J$14,XIRR($G$34:G59,$C$34:C59,0),"")</f>
        <v>-0.38060724990956474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графік'!$J$14,EDATE(C59,1),"")</f>
        <v>44986</v>
      </c>
      <c r="D60" s="36">
        <f>IF(B59&lt;'Умови та класичний графік'!$J$14,C59,"")</f>
        <v>44958</v>
      </c>
      <c r="E60" s="26">
        <f>IF(B59&lt;'Умови та класичний графік'!$J$14,C60-1,"")</f>
        <v>44985</v>
      </c>
      <c r="F60" s="37">
        <f>IF(B59&lt;'Умови та класичний графік'!$J$14,E60-D60+1,"")</f>
        <v>28</v>
      </c>
      <c r="G60" s="148">
        <f>IF(B59&lt;'Умови та класичний графік'!$J$14,-(SUM(J60:L60)),"")</f>
        <v>227530.73044224025</v>
      </c>
      <c r="H60" s="148"/>
      <c r="I60" s="32">
        <f>IF(B59&lt;'Умови та класичний графік'!$J$14,I59+J60,"")</f>
        <v>6442443.8659494482</v>
      </c>
      <c r="J60" s="32">
        <f>IF(B59&lt;'Умови та класичний графік'!$J$14,PPMT($J$20/12,B60,$J$12,$J$11,0,0),"")</f>
        <v>-156047.07854356591</v>
      </c>
      <c r="K60" s="32">
        <f>IF(B59&lt;'Умови та класичний графік'!$J$14,IPMT($J$20/12,B60,$J$12,$J$11,0,0),"")</f>
        <v>-71483.651898674361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графік'!$J$14,XIRR($G$34:G60,$C$34:C60,0),"")</f>
        <v>-0.35009385122351344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графік'!$J$14,EDATE(C60,1),"")</f>
        <v>45017</v>
      </c>
      <c r="D61" s="36">
        <f>IF(B60&lt;'Умови та класичний графік'!$J$14,C60,"")</f>
        <v>44986</v>
      </c>
      <c r="E61" s="26">
        <f>IF(B60&lt;'Умови та класичний графік'!$J$14,C61-1,"")</f>
        <v>45016</v>
      </c>
      <c r="F61" s="37">
        <f>IF(B60&lt;'Умови та класичний графік'!$J$14,E61-D61+1,"")</f>
        <v>31</v>
      </c>
      <c r="G61" s="148">
        <f>IF(B60&lt;'Умови та класичний графік'!$J$14,-(SUM(J61:L61)),"")</f>
        <v>227530.73044224025</v>
      </c>
      <c r="H61" s="148"/>
      <c r="I61" s="32">
        <f>IF(B60&lt;'Умови та класичний графік'!$J$14,I60+J61,"")</f>
        <v>6284706.2773883268</v>
      </c>
      <c r="J61" s="32">
        <f>IF(B60&lt;'Умови та класичний графік'!$J$14,PPMT($J$20/12,B61,$J$12,$J$11,0,0),"")</f>
        <v>-157737.5885611212</v>
      </c>
      <c r="K61" s="32">
        <f>IF(B60&lt;'Умови та класичний графік'!$J$14,IPMT($J$20/12,B61,$J$12,$J$11,0,0),"")</f>
        <v>-69793.141881119038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графік'!$J$14,XIRR($G$34:G61,$C$34:C61,0),"")</f>
        <v>-0.32098736140467232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графік'!$J$14,EDATE(C61,1),"")</f>
        <v>45047</v>
      </c>
      <c r="D62" s="36">
        <f>IF(B61&lt;'Умови та класичний графік'!$J$14,C61,"")</f>
        <v>45017</v>
      </c>
      <c r="E62" s="26">
        <f>IF(B61&lt;'Умови та класичний графік'!$J$14,C62-1,"")</f>
        <v>45046</v>
      </c>
      <c r="F62" s="37">
        <f>IF(B61&lt;'Умови та класичний графік'!$J$14,E62-D62+1,"")</f>
        <v>30</v>
      </c>
      <c r="G62" s="148">
        <f>IF(B61&lt;'Умови та класичний графік'!$J$14,-(SUM(J62:L62)),"")</f>
        <v>227530.73044224022</v>
      </c>
      <c r="H62" s="148"/>
      <c r="I62" s="32">
        <f>IF(B61&lt;'Умови та класичний графік'!$J$14,I61+J62,"")</f>
        <v>6125259.8649511272</v>
      </c>
      <c r="J62" s="32">
        <f>IF(B61&lt;'Умови та класичний графік'!$J$14,PPMT($J$20/12,B62,$J$12,$J$11,0,0),"")</f>
        <v>-159446.41243719999</v>
      </c>
      <c r="K62" s="32">
        <f>IF(B61&lt;'Умови та класичний графік'!$J$14,IPMT($J$20/12,B62,$J$12,$J$11,0,0),"")</f>
        <v>-68084.31800504023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графік'!$J$14,XIRR($G$34:G62,$C$34:C62,0),"")</f>
        <v>-0.29328427871517826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графік'!$J$14,EDATE(C62,1),"")</f>
        <v>45078</v>
      </c>
      <c r="D63" s="36">
        <f>IF(B62&lt;'Умови та класичний графік'!$J$14,C62,"")</f>
        <v>45047</v>
      </c>
      <c r="E63" s="26">
        <f>IF(B62&lt;'Умови та класичний графік'!$J$14,C63-1,"")</f>
        <v>45077</v>
      </c>
      <c r="F63" s="37">
        <f>IF(B62&lt;'Умови та класичний графік'!$J$14,E63-D63+1,"")</f>
        <v>31</v>
      </c>
      <c r="G63" s="148">
        <f>IF(B62&lt;'Умови та класичний графік'!$J$14,-(SUM(J63:L63)),"")</f>
        <v>227530.73044224025</v>
      </c>
      <c r="H63" s="148"/>
      <c r="I63" s="32">
        <f>IF(B62&lt;'Умови та класичний графік'!$J$14,I62+J63,"")</f>
        <v>5964086.1163791912</v>
      </c>
      <c r="J63" s="32">
        <f>IF(B62&lt;'Умови та класичний графік'!$J$14,PPMT($J$20/12,B63,$J$12,$J$11,0,0),"")</f>
        <v>-161173.74857193633</v>
      </c>
      <c r="K63" s="32">
        <f>IF(B62&lt;'Умови та класичний графік'!$J$14,IPMT($J$20/12,B63,$J$12,$J$11,0,0),"")</f>
        <v>-66356.981870303905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графік'!$J$14,XIRR($G$34:G63,$C$34:C63,0),"")</f>
        <v>-0.26691167760141199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графік'!$J$14,EDATE(C63,1),"")</f>
        <v>45108</v>
      </c>
      <c r="D64" s="36">
        <f>IF(B63&lt;'Умови та класичний графік'!$J$14,C63,"")</f>
        <v>45078</v>
      </c>
      <c r="E64" s="26">
        <f>IF(B63&lt;'Умови та класичний графік'!$J$14,C64-1,"")</f>
        <v>45107</v>
      </c>
      <c r="F64" s="37">
        <f>IF(B63&lt;'Умови та класичний графік'!$J$14,E64-D64+1,"")</f>
        <v>30</v>
      </c>
      <c r="G64" s="148">
        <f>IF(B63&lt;'Умови та класичний графік'!$J$14,-(SUM(J64:L64)),"")</f>
        <v>227530.73044224025</v>
      </c>
      <c r="H64" s="148"/>
      <c r="I64" s="32">
        <f>IF(B63&lt;'Умови та класичний графік'!$J$14,I63+J64,"")</f>
        <v>5801166.3188643921</v>
      </c>
      <c r="J64" s="32">
        <f>IF(B63&lt;'Умови та класичний графік'!$J$14,PPMT($J$20/12,B64,$J$12,$J$11,0,0),"")</f>
        <v>-162919.79751479899</v>
      </c>
      <c r="K64" s="32">
        <f>IF(B63&lt;'Умови та класичний графік'!$J$14,IPMT($J$20/12,B64,$J$12,$J$11,0,0),"")</f>
        <v>-64610.932927441259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графік'!$J$14,XIRR($G$34:G64,$C$34:C64,0),"")</f>
        <v>-0.24184298583339897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графік'!$J$14,EDATE(C64,1),"")</f>
        <v>45139</v>
      </c>
      <c r="D65" s="36">
        <f>IF(B64&lt;'Умови та класичний графік'!$J$14,C64,"")</f>
        <v>45108</v>
      </c>
      <c r="E65" s="26">
        <f>IF(B64&lt;'Умови та класичний графік'!$J$14,C65-1,"")</f>
        <v>45138</v>
      </c>
      <c r="F65" s="37">
        <f>IF(B64&lt;'Умови та класичний графік'!$J$14,E65-D65+1,"")</f>
        <v>31</v>
      </c>
      <c r="G65" s="148">
        <f>IF(B64&lt;'Умови та класичний графік'!$J$14,-(SUM(J65:L65)),"")</f>
        <v>227530.73044224025</v>
      </c>
      <c r="H65" s="148"/>
      <c r="I65" s="32">
        <f>IF(B64&lt;'Умови та класичний графік'!$J$14,I64+J65,"")</f>
        <v>5636481.556876516</v>
      </c>
      <c r="J65" s="32">
        <f>IF(B64&lt;'Умови та класичний графік'!$J$14,PPMT($J$20/12,B65,$J$12,$J$11,0,0),"")</f>
        <v>-164684.76198787597</v>
      </c>
      <c r="K65" s="32">
        <f>IF(B64&lt;'Умови та класичний графік'!$J$14,IPMT($J$20/12,B65,$J$12,$J$11,0,0),"")</f>
        <v>-62845.968454364272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графік'!$J$14,XIRR($G$34:G65,$C$34:C65,0),"")</f>
        <v>-0.21800393676642327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графік'!$J$14,EDATE(C65,1),"")</f>
        <v>45170</v>
      </c>
      <c r="D66" s="36">
        <f>IF(B65&lt;'Умови та класичний графік'!$J$14,C65,"")</f>
        <v>45139</v>
      </c>
      <c r="E66" s="26">
        <f>IF(B65&lt;'Умови та класичний графік'!$J$14,C66-1,"")</f>
        <v>45169</v>
      </c>
      <c r="F66" s="37">
        <f>IF(B65&lt;'Умови та класичний графік'!$J$14,E66-D66+1,"")</f>
        <v>31</v>
      </c>
      <c r="G66" s="148">
        <f>IF(B65&lt;'Умови та класичний графік'!$J$14,-(SUM(J66:L66)),"")</f>
        <v>227530.73044224022</v>
      </c>
      <c r="H66" s="148"/>
      <c r="I66" s="32">
        <f>IF(B65&lt;'Умови та класичний графік'!$J$14,I65+J66,"")</f>
        <v>5470012.7099671047</v>
      </c>
      <c r="J66" s="32">
        <f>IF(B65&lt;'Умови та класичний графік'!$J$14,PPMT($J$20/12,B66,$J$12,$J$11,0,0),"")</f>
        <v>-166468.84690941128</v>
      </c>
      <c r="K66" s="32">
        <f>IF(B65&lt;'Умови та класичний графік'!$J$14,IPMT($J$20/12,B66,$J$12,$J$11,0,0),"")</f>
        <v>-61061.883532828942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графік'!$J$14,XIRR($G$34:G66,$C$34:C66,0),"")</f>
        <v>-0.19534303622763605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графік'!$J$14,EDATE(C66,1),"")</f>
        <v>45200</v>
      </c>
      <c r="D67" s="36">
        <f>IF(B66&lt;'Умови та класичний графік'!$J$14,C66,"")</f>
        <v>45170</v>
      </c>
      <c r="E67" s="26">
        <f>IF(B66&lt;'Умови та класичний графік'!$J$14,C67-1,"")</f>
        <v>45199</v>
      </c>
      <c r="F67" s="37">
        <f>IF(B66&lt;'Умови та класичний графік'!$J$14,E67-D67+1,"")</f>
        <v>30</v>
      </c>
      <c r="G67" s="148">
        <f>IF(B66&lt;'Умови та класичний графік'!$J$14,-(SUM(J67:L67)),"")</f>
        <v>227530.73044224022</v>
      </c>
      <c r="H67" s="148"/>
      <c r="I67" s="32">
        <f>IF(B66&lt;'Умови та класичний графік'!$J$14,I66+J67,"")</f>
        <v>5301740.4505495084</v>
      </c>
      <c r="J67" s="32">
        <f>IF(B66&lt;'Умови та класичний графік'!$J$14,PPMT($J$20/12,B67,$J$12,$J$11,0,0),"")</f>
        <v>-168272.25941759656</v>
      </c>
      <c r="K67" s="32">
        <f>IF(B66&lt;'Умови та класичний графік'!$J$14,IPMT($J$20/12,B67,$J$12,$J$11,0,0),"")</f>
        <v>-59258.471024643659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графік'!$J$14,XIRR($G$34:G67,$C$34:C67,0),"")</f>
        <v>-0.17381801004547631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графік'!$J$14,EDATE(C67,1),"")</f>
        <v>45231</v>
      </c>
      <c r="D68" s="36">
        <f>IF(B67&lt;'Умови та класичний графік'!$J$14,C67,"")</f>
        <v>45200</v>
      </c>
      <c r="E68" s="26">
        <f>IF(B67&lt;'Умови та класичний графік'!$J$14,C68-1,"")</f>
        <v>45230</v>
      </c>
      <c r="F68" s="37">
        <f>IF(B67&lt;'Умови та класичний графік'!$J$14,E68-D68+1,"")</f>
        <v>31</v>
      </c>
      <c r="G68" s="148">
        <f>IF(B67&lt;'Умови та класичний графік'!$J$14,-(SUM(J68:L68)),"")</f>
        <v>227530.73044224022</v>
      </c>
      <c r="H68" s="148"/>
      <c r="I68" s="32">
        <f>IF(B67&lt;'Умови та класичний графік'!$J$14,I67+J68,"")</f>
        <v>5131645.2416548878</v>
      </c>
      <c r="J68" s="32">
        <f>IF(B67&lt;'Умови та класичний графік'!$J$14,PPMT($J$20/12,B68,$J$12,$J$11,0,0),"")</f>
        <v>-170095.20889462053</v>
      </c>
      <c r="K68" s="32">
        <f>IF(B67&lt;'Умови та класичний графік'!$J$14,IPMT($J$20/12,B68,$J$12,$J$11,0,0),"")</f>
        <v>-57435.521547619697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графік'!$J$14,XIRR($G$34:G68,$C$34:C68,0),"")</f>
        <v>-0.15336049237605182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графік'!$J$14,EDATE(C68,1),"")</f>
        <v>45261</v>
      </c>
      <c r="D69" s="36">
        <f>IF(B68&lt;'Умови та класичний графік'!$J$14,C68,"")</f>
        <v>45231</v>
      </c>
      <c r="E69" s="26">
        <f>IF(B68&lt;'Умови та класичний графік'!$J$14,C69-1,"")</f>
        <v>45260</v>
      </c>
      <c r="F69" s="37">
        <f>IF(B68&lt;'Умови та класичний графік'!$J$14,E69-D69+1,"")</f>
        <v>30</v>
      </c>
      <c r="G69" s="148">
        <f>IF(B68&lt;'Умови та класичний графік'!$J$14,-(SUM(J69:L69)),"")</f>
        <v>227530.73044224022</v>
      </c>
      <c r="H69" s="148"/>
      <c r="I69" s="32">
        <f>IF(B68&lt;'Умови та класичний графік'!$J$14,I68+J69,"")</f>
        <v>4959707.3346639089</v>
      </c>
      <c r="J69" s="32">
        <f>IF(B68&lt;'Умови та класичний графік'!$J$14,PPMT($J$20/12,B69,$J$12,$J$11,0,0),"")</f>
        <v>-171937.9069909789</v>
      </c>
      <c r="K69" s="32">
        <f>IF(B68&lt;'Умови та класичний графік'!$J$14,IPMT($J$20/12,B69,$J$12,$J$11,0,0),"")</f>
        <v>-55592.82345126132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графік'!$J$14,XIRR($G$34:G69,$C$34:C69,0),"")</f>
        <v>-0.13392558646965774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графік'!$J$14,EDATE(C69,1),"")</f>
        <v>45292</v>
      </c>
      <c r="D70" s="36">
        <f>IF(B69&lt;'Умови та класичний графік'!$J$14,C69,"")</f>
        <v>45261</v>
      </c>
      <c r="E70" s="26">
        <f>IF(B69&lt;'Умови та класичний графік'!$J$14,C70-1,"")</f>
        <v>45291</v>
      </c>
      <c r="F70" s="37">
        <f>IF(B69&lt;'Умови та класичний графік'!$J$14,E70-D70+1,"")</f>
        <v>31</v>
      </c>
      <c r="G70" s="148">
        <f>IF(B69&lt;'Умови та класичний графік'!$J$14,-(SUM(J70:L70)),"")</f>
        <v>227530.73044224022</v>
      </c>
      <c r="H70" s="148"/>
      <c r="I70" s="32">
        <f>IF(B69&lt;'Умови та класичний графік'!$J$14,I69+J70,"")</f>
        <v>4785906.7670138609</v>
      </c>
      <c r="J70" s="32">
        <f>IF(B69&lt;'Умови та класичний графік'!$J$14,PPMT($J$20/12,B70,$J$12,$J$11,0,0),"")</f>
        <v>-173800.56765004786</v>
      </c>
      <c r="K70" s="32">
        <f>IF(B69&lt;'Умови та класичний графік'!$J$14,IPMT($J$20/12,B70,$J$12,$J$11,0,0),"")</f>
        <v>-53730.162792192372</v>
      </c>
      <c r="L70" s="30">
        <f>IF(B69&lt;'Умови та класичний графік'!$J$14,-(SUM(M70:V70)),"")</f>
        <v>0</v>
      </c>
      <c r="M70" s="38"/>
      <c r="N70" s="39"/>
      <c r="O70" s="39"/>
      <c r="P70" s="32"/>
      <c r="Q70" s="40"/>
      <c r="R70" s="40"/>
      <c r="S70" s="41"/>
      <c r="T70" s="41"/>
      <c r="U70" s="33"/>
      <c r="V70" s="41"/>
      <c r="W70" s="43">
        <f>IF(B69&lt;'Умови та класичний графік'!$J$14,XIRR($G$34:G70,$C$34:C70,0),"")</f>
        <v>-0.11545157233383507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графік'!$J$14,EDATE(C70,1),"")</f>
        <v>45323</v>
      </c>
      <c r="D71" s="36">
        <f>IF(B70&lt;'Умови та класичний графік'!$J$14,C70,"")</f>
        <v>45292</v>
      </c>
      <c r="E71" s="26">
        <f>IF(B70&lt;'Умови та класичний графік'!$J$14,C71-1,"")</f>
        <v>45322</v>
      </c>
      <c r="F71" s="37">
        <f>IF(B70&lt;'Умови та класичний графік'!$J$14,E71-D71+1,"")</f>
        <v>31</v>
      </c>
      <c r="G71" s="148">
        <f>IF(B70&lt;'Умови та класичний графік'!$J$14,-(SUM(J71:L71)),"")</f>
        <v>227530.73044224025</v>
      </c>
      <c r="H71" s="148"/>
      <c r="I71" s="32">
        <f>IF(B70&lt;'Умови та класичний графік'!$J$14,I70+J71,"")</f>
        <v>4610223.3598809373</v>
      </c>
      <c r="J71" s="32">
        <f>IF(B70&lt;'Умови та класичний графік'!$J$14,PPMT($J$20/12,B71,$J$12,$J$11,0,0),"")</f>
        <v>-175683.4071329234</v>
      </c>
      <c r="K71" s="32">
        <f>IF(B70&lt;'Умови та класичний графік'!$J$14,IPMT($J$20/12,B71,$J$12,$J$11,0,0),"")</f>
        <v>-51847.32330931686</v>
      </c>
      <c r="L71" s="30">
        <f>IF(B70&lt;'Умови та класичний графік'!$J$14,-(SUM(M71:V71)),"")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графік'!$J$14,XIRR($G$34:G71,$C$34:C71,0),"")</f>
        <v>-9.7889030761681511E-2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графік'!$J$14,EDATE(C71,1),"")</f>
        <v>45352</v>
      </c>
      <c r="D72" s="36">
        <f>IF(B71&lt;'Умови та класичний графік'!$J$14,C71,"")</f>
        <v>45323</v>
      </c>
      <c r="E72" s="26">
        <f>IF(B71&lt;'Умови та класичний графік'!$J$14,C72-1,"")</f>
        <v>45351</v>
      </c>
      <c r="F72" s="37">
        <f>IF(B71&lt;'Умови та класичний графік'!$J$14,E72-D72+1,"")</f>
        <v>29</v>
      </c>
      <c r="G72" s="148">
        <f>IF(B71&lt;'Умови та класичний графік'!$J$14,-(SUM(J72:L72)),"")</f>
        <v>227530.73044224025</v>
      </c>
      <c r="H72" s="148"/>
      <c r="I72" s="32">
        <f>IF(B71&lt;'Умови та класичний графік'!$J$14,I71+J72,"")</f>
        <v>4432636.7158374069</v>
      </c>
      <c r="J72" s="32">
        <f>IF(B71&lt;'Умови та класичний графік'!$J$14,PPMT($J$20/12,B72,$J$12,$J$11,0,0),"")</f>
        <v>-177586.64404353008</v>
      </c>
      <c r="K72" s="32">
        <f>IF(B71&lt;'Умови та класичний графік'!$J$14,IPMT($J$20/12,B72,$J$12,$J$11,0,0),"")</f>
        <v>-49944.086398710184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графік'!$J$14,XIRR($G$34:G72,$C$34:C72,0),"")</f>
        <v>-8.1197647064737977E-2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графік'!$J$14,EDATE(C72,1),"")</f>
        <v>45383</v>
      </c>
      <c r="D73" s="36">
        <f>IF(B72&lt;'Умови та класичний графік'!$J$14,C72,"")</f>
        <v>45352</v>
      </c>
      <c r="E73" s="26">
        <f>IF(B72&lt;'Умови та класичний графік'!$J$14,C73-1,"")</f>
        <v>45382</v>
      </c>
      <c r="F73" s="37">
        <f>IF(B72&lt;'Умови та класичний графік'!$J$14,E73-D73+1,"")</f>
        <v>31</v>
      </c>
      <c r="G73" s="148">
        <f>IF(B72&lt;'Умови та класичний графік'!$J$14,-(SUM(J73:L73)),"")</f>
        <v>227530.73044224025</v>
      </c>
      <c r="H73" s="148"/>
      <c r="I73" s="32">
        <f>IF(B72&lt;'Умови та класичний графік'!$J$14,I72+J73,"")</f>
        <v>4253126.2164834049</v>
      </c>
      <c r="J73" s="32">
        <f>IF(B72&lt;'Умови та класичний графік'!$J$14,PPMT($J$20/12,B73,$J$12,$J$11,0,0),"")</f>
        <v>-179510.49935400163</v>
      </c>
      <c r="K73" s="32">
        <f>IF(B72&lt;'Умови та класичний графік'!$J$14,IPMT($J$20/12,B73,$J$12,$J$11,0,0),"")</f>
        <v>-48020.231088238608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графік'!$J$14,XIRR($G$34:G73,$C$34:C73,0),"")</f>
        <v>-6.5320231158249087E-2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графік'!$J$14,EDATE(C73,1),"")</f>
        <v>45413</v>
      </c>
      <c r="D74" s="36">
        <f>IF(B73&lt;'Умови та класичний графік'!$J$14,C73,"")</f>
        <v>45383</v>
      </c>
      <c r="E74" s="26">
        <f>IF(B73&lt;'Умови та класичний графік'!$J$14,C74-1,"")</f>
        <v>45412</v>
      </c>
      <c r="F74" s="37">
        <f>IF(B73&lt;'Умови та класичний графік'!$J$14,E74-D74+1,"")</f>
        <v>30</v>
      </c>
      <c r="G74" s="148">
        <f>IF(B73&lt;'Умови та класичний графік'!$J$14,-(SUM(J74:L74)),"")</f>
        <v>227530.73044224025</v>
      </c>
      <c r="H74" s="148"/>
      <c r="I74" s="32">
        <f>IF(B73&lt;'Умови та класичний графік'!$J$14,I73+J74,"")</f>
        <v>4071671.0200530682</v>
      </c>
      <c r="J74" s="32">
        <f>IF(B73&lt;'Умови та класичний графік'!$J$14,PPMT($J$20/12,B74,$J$12,$J$11,0,0),"")</f>
        <v>-181455.19643033665</v>
      </c>
      <c r="K74" s="32">
        <f>IF(B73&lt;'Умови та класичний графік'!$J$14,IPMT($J$20/12,B74,$J$12,$J$11,0,0),"")</f>
        <v>-46075.534011903583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графік'!$J$14,XIRR($G$34:G74,$C$34:C74,0),"")</f>
        <v>-5.0215633897073564E-2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графік'!$J$14,EDATE(C74,1),"")</f>
        <v>45444</v>
      </c>
      <c r="D75" s="36">
        <f>IF(B74&lt;'Умови та класичний графік'!$J$14,C74,"")</f>
        <v>45413</v>
      </c>
      <c r="E75" s="26">
        <f>IF(B74&lt;'Умови та класичний графік'!$J$14,C75-1,"")</f>
        <v>45443</v>
      </c>
      <c r="F75" s="37">
        <f>IF(B74&lt;'Умови та класичний графік'!$J$14,E75-D75+1,"")</f>
        <v>31</v>
      </c>
      <c r="G75" s="148">
        <f>IF(B74&lt;'Умови та класичний графік'!$J$14,-(SUM(J75:L75)),"")</f>
        <v>227530.73044224025</v>
      </c>
      <c r="H75" s="148"/>
      <c r="I75" s="32">
        <f>IF(B74&lt;'Умови та класичний графік'!$J$14,I74+J75,"")</f>
        <v>3888250.0589947361</v>
      </c>
      <c r="J75" s="32">
        <f>IF(B74&lt;'Умови та класичний графік'!$J$14,PPMT($J$20/12,B75,$J$12,$J$11,0,0),"")</f>
        <v>-183420.96105833197</v>
      </c>
      <c r="K75" s="32">
        <f>IF(B74&lt;'Умови та класичний графік'!$J$14,IPMT($J$20/12,B75,$J$12,$J$11,0,0),"")</f>
        <v>-44109.769383908271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графік'!$J$14,XIRR($G$34:G75,$C$34:C75,0),"")</f>
        <v>-3.583907773960382E-2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графік'!$J$14,EDATE(C75,1),"")</f>
        <v>45474</v>
      </c>
      <c r="D76" s="36">
        <f>IF(B75&lt;'Умови та класичний графік'!$J$14,C75,"")</f>
        <v>45444</v>
      </c>
      <c r="E76" s="26">
        <f>IF(B75&lt;'Умови та класичний графік'!$J$14,C76-1,"")</f>
        <v>45473</v>
      </c>
      <c r="F76" s="37">
        <f>IF(B75&lt;'Умови та класичний графік'!$J$14,E76-D76+1,"")</f>
        <v>30</v>
      </c>
      <c r="G76" s="148">
        <f>IF(B75&lt;'Умови та класичний графік'!$J$14,-(SUM(J76:L76)),"")</f>
        <v>227530.73044224028</v>
      </c>
      <c r="H76" s="148"/>
      <c r="I76" s="32">
        <f>IF(B75&lt;'Умови та класичний графік'!$J$14,I75+J76,"")</f>
        <v>3702842.0375249386</v>
      </c>
      <c r="J76" s="32">
        <f>IF(B75&lt;'Умови та класичний графік'!$J$14,PPMT($J$20/12,B76,$J$12,$J$11,0,0),"")</f>
        <v>-185408.02146979727</v>
      </c>
      <c r="K76" s="32">
        <f>IF(B75&lt;'Умови та класичний графік'!$J$14,IPMT($J$20/12,B76,$J$12,$J$11,0,0),"")</f>
        <v>-42122.708972443012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графік'!$J$14,XIRR($G$34:G76,$C$34:C76,0),"")</f>
        <v>-2.215231923807412E-2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графік'!$J$14,EDATE(C76,1),"")</f>
        <v>45505</v>
      </c>
      <c r="D77" s="36">
        <f>IF(B76&lt;'Умови та класичний графік'!$J$14,C76,"")</f>
        <v>45474</v>
      </c>
      <c r="E77" s="26">
        <f>IF(B76&lt;'Умови та класичний графік'!$J$14,C77-1,"")</f>
        <v>45504</v>
      </c>
      <c r="F77" s="37">
        <f>IF(B76&lt;'Умови та класичний графік'!$J$14,E77-D77+1,"")</f>
        <v>31</v>
      </c>
      <c r="G77" s="148">
        <f>IF(B76&lt;'Умови та класичний графік'!$J$14,-(SUM(J77:L77)),"")</f>
        <v>227530.73044224025</v>
      </c>
      <c r="H77" s="148"/>
      <c r="I77" s="32">
        <f>IF(B76&lt;'Умови та класичний графік'!$J$14,I76+J77,"")</f>
        <v>3515425.4291558852</v>
      </c>
      <c r="J77" s="32">
        <f>IF(B76&lt;'Умови та класичний графік'!$J$14,PPMT($J$20/12,B77,$J$12,$J$11,0,0),"")</f>
        <v>-187416.60836905337</v>
      </c>
      <c r="K77" s="32">
        <f>IF(B76&lt;'Умови та класичний графік'!$J$14,IPMT($J$20/12,B77,$J$12,$J$11,0,0),"")</f>
        <v>-40114.122073186874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графік'!$J$14,XIRR($G$34:G77,$C$34:C77,0),"")</f>
        <v>-9.1163698941096622E-3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графік'!$J$14,EDATE(C77,1),"")</f>
        <v>45536</v>
      </c>
      <c r="D78" s="36">
        <f>IF(B77&lt;'Умови та класичний графік'!$J$14,C77,"")</f>
        <v>45505</v>
      </c>
      <c r="E78" s="26">
        <f>IF(B77&lt;'Умови та класичний графік'!$J$14,C78-1,"")</f>
        <v>45535</v>
      </c>
      <c r="F78" s="37">
        <f>IF(B77&lt;'Умови та класичний графік'!$J$14,E78-D78+1,"")</f>
        <v>31</v>
      </c>
      <c r="G78" s="148">
        <f>IF(B77&lt;'Умови та класичний графік'!$J$14,-(SUM(J78:L78)),"")</f>
        <v>227530.73044224025</v>
      </c>
      <c r="H78" s="148"/>
      <c r="I78" s="32">
        <f>IF(B77&lt;'Умови та класичний графік'!$J$14,I77+J78,"")</f>
        <v>3325978.4741961672</v>
      </c>
      <c r="J78" s="32">
        <f>IF(B77&lt;'Умови та класичний графік'!$J$14,PPMT($J$20/12,B78,$J$12,$J$11,0,0),"")</f>
        <v>-189446.95495971813</v>
      </c>
      <c r="K78" s="32">
        <f>IF(B77&lt;'Умови та класичний графік'!$J$14,IPMT($J$20/12,B78,$J$12,$J$11,0,0),"")</f>
        <v>-38083.775482522127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графік'!$J$14,XIRR($G$34:G78,$C$34:C78,0),"")</f>
        <v>3.3037939453125003E-3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графік'!$J$14,EDATE(C78,1),"")</f>
        <v>45566</v>
      </c>
      <c r="D79" s="36">
        <f>IF(B78&lt;'Умови та класичний графік'!$J$14,C78,"")</f>
        <v>45536</v>
      </c>
      <c r="E79" s="26">
        <f>IF(B78&lt;'Умови та класичний графік'!$J$14,C79-1,"")</f>
        <v>45565</v>
      </c>
      <c r="F79" s="37">
        <f>IF(B78&lt;'Умови та класичний графік'!$J$14,E79-D79+1,"")</f>
        <v>30</v>
      </c>
      <c r="G79" s="148">
        <f>IF(B78&lt;'Умови та класичний графік'!$J$14,-(SUM(J79:L79)),"")</f>
        <v>227530.73044224025</v>
      </c>
      <c r="H79" s="148"/>
      <c r="I79" s="32">
        <f>IF(B78&lt;'Умови та класичний графік'!$J$14,I78+J79,"")</f>
        <v>3134479.1772243856</v>
      </c>
      <c r="J79" s="32">
        <f>IF(B78&lt;'Умови та класичний графік'!$J$14,PPMT($J$20/12,B79,$J$12,$J$11,0,0),"")</f>
        <v>-191499.29697178173</v>
      </c>
      <c r="K79" s="32">
        <f>IF(B78&lt;'Умови та класичний графік'!$J$14,IPMT($J$20/12,B79,$J$12,$J$11,0,0),"")</f>
        <v>-36031.433470458513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графік'!$J$14,XIRR($G$34:G79,$C$34:C79,0),"")</f>
        <v>1.5141821289062498E-2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графік'!$J$14,EDATE(C79,1),"")</f>
        <v>45597</v>
      </c>
      <c r="D80" s="36">
        <f>IF(B79&lt;'Умови та класичний графік'!$J$14,C79,"")</f>
        <v>45566</v>
      </c>
      <c r="E80" s="26">
        <f>IF(B79&lt;'Умови та класичний графік'!$J$14,C80-1,"")</f>
        <v>45596</v>
      </c>
      <c r="F80" s="37">
        <f>IF(B79&lt;'Умови та класичний графік'!$J$14,E80-D80+1,"")</f>
        <v>31</v>
      </c>
      <c r="G80" s="148">
        <f>IF(B79&lt;'Умови та класичний графік'!$J$14,-(SUM(J80:L80)),"")</f>
        <v>227530.73044224022</v>
      </c>
      <c r="H80" s="148"/>
      <c r="I80" s="32">
        <f>IF(B79&lt;'Умови та класичний графік'!$J$14,I79+J80,"")</f>
        <v>2940905.3045354094</v>
      </c>
      <c r="J80" s="32">
        <f>IF(B79&lt;'Умови та класичний графік'!$J$14,PPMT($J$20/12,B80,$J$12,$J$11,0,0),"")</f>
        <v>-193573.872688976</v>
      </c>
      <c r="K80" s="32">
        <f>IF(B79&lt;'Умови та класичний графік'!$J$14,IPMT($J$20/12,B80,$J$12,$J$11,0,0),"")</f>
        <v>-33956.857753264216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графік'!$J$14,XIRR($G$34:G80,$C$34:C80,0),"")</f>
        <v>2.6429262695312504E-2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графік'!$J$14,EDATE(C80,1),"")</f>
        <v>45627</v>
      </c>
      <c r="D81" s="36">
        <f>IF(B80&lt;'Умови та класичний графік'!$J$14,C80,"")</f>
        <v>45597</v>
      </c>
      <c r="E81" s="26">
        <f>IF(B80&lt;'Умови та класичний графік'!$J$14,C81-1,"")</f>
        <v>45626</v>
      </c>
      <c r="F81" s="37">
        <f>IF(B80&lt;'Умови та класичний графік'!$J$14,E81-D81+1,"")</f>
        <v>30</v>
      </c>
      <c r="G81" s="148">
        <f>IF(B80&lt;'Умови та класичний графік'!$J$14,-(SUM(J81:L81)),"")</f>
        <v>227530.73044224025</v>
      </c>
      <c r="H81" s="148"/>
      <c r="I81" s="32">
        <f>IF(B80&lt;'Умови та класичний графік'!$J$14,I80+J81,"")</f>
        <v>2745234.3815589696</v>
      </c>
      <c r="J81" s="32">
        <f>IF(B80&lt;'Умови та класичний графік'!$J$14,PPMT($J$20/12,B81,$J$12,$J$11,0,0),"")</f>
        <v>-195670.92297643994</v>
      </c>
      <c r="K81" s="32">
        <f>IF(B80&lt;'Умови та класичний графік'!$J$14,IPMT($J$20/12,B81,$J$12,$J$11,0,0),"")</f>
        <v>-31859.807465800306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графік'!$J$14,XIRR($G$34:G81,$C$34:C81,0),"")</f>
        <v>3.7196684570312499E-2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графік'!$J$14,EDATE(C81,1),"")</f>
        <v>45658</v>
      </c>
      <c r="D82" s="36">
        <f>IF(B81&lt;'Умови та класичний графік'!$J$14,C81,"")</f>
        <v>45627</v>
      </c>
      <c r="E82" s="26">
        <f>IF(B81&lt;'Умови та класичний графік'!$J$14,C82-1,"")</f>
        <v>45657</v>
      </c>
      <c r="F82" s="37">
        <f>IF(B81&lt;'Умови та класичний графік'!$J$14,E82-D82+1,"")</f>
        <v>31</v>
      </c>
      <c r="G82" s="148">
        <f>IF(B81&lt;'Умови та класичний графік'!$J$14,-(SUM(J82:L82)),"")</f>
        <v>227530.73044224025</v>
      </c>
      <c r="H82" s="148"/>
      <c r="I82" s="32">
        <f>IF(B81&lt;'Умови та класичний графік'!$J$14,I81+J82,"")</f>
        <v>2547443.690250285</v>
      </c>
      <c r="J82" s="32">
        <f>IF(B81&lt;'Умови та класичний графік'!$J$14,PPMT($J$20/12,B82,$J$12,$J$11,0,0),"")</f>
        <v>-197790.69130868471</v>
      </c>
      <c r="K82" s="32">
        <f>IF(B81&lt;'Умови та класичний графік'!$J$14,IPMT($J$20/12,B82,$J$12,$J$11,0,0),"")</f>
        <v>-29740.03913355554</v>
      </c>
      <c r="L82" s="30">
        <f>IF(B81&lt;'Умови та класичний графік'!$J$14,-(SUM(M82:V82)),"")</f>
        <v>0</v>
      </c>
      <c r="M82" s="38"/>
      <c r="N82" s="39"/>
      <c r="O82" s="39"/>
      <c r="P82" s="32"/>
      <c r="Q82" s="40"/>
      <c r="R82" s="40"/>
      <c r="S82" s="41"/>
      <c r="T82" s="41"/>
      <c r="U82" s="33"/>
      <c r="V82" s="41"/>
      <c r="W82" s="43">
        <f>IF(B81&lt;'Умови та класичний графік'!$J$14,XIRR($G$34:G82,$C$34:C82,0),"")</f>
        <v>4.7471362304687514E-2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графік'!$J$14,EDATE(C82,1),"")</f>
        <v>45689</v>
      </c>
      <c r="D83" s="36">
        <f>IF(B82&lt;'Умови та класичний графік'!$J$14,C82,"")</f>
        <v>45658</v>
      </c>
      <c r="E83" s="26">
        <f>IF(B82&lt;'Умови та класичний графік'!$J$14,C83-1,"")</f>
        <v>45688</v>
      </c>
      <c r="F83" s="37">
        <f>IF(B82&lt;'Умови та класичний графік'!$J$14,E83-D83+1,"")</f>
        <v>31</v>
      </c>
      <c r="G83" s="148">
        <f>IF(B82&lt;'Умови та класичний графік'!$J$14,-(SUM(J83:L83)),"")</f>
        <v>227530.73044224022</v>
      </c>
      <c r="H83" s="148"/>
      <c r="I83" s="32">
        <f>IF(B82&lt;'Умови та класичний графік'!$J$14,I82+J83,"")</f>
        <v>2347510.2664524228</v>
      </c>
      <c r="J83" s="32">
        <f>IF(B82&lt;'Умови та класичний графік'!$J$14,PPMT($J$20/12,B83,$J$12,$J$11,0,0),"")</f>
        <v>-199933.42379786211</v>
      </c>
      <c r="K83" s="32">
        <f>IF(B82&lt;'Умови та класичний графік'!$J$14,IPMT($J$20/12,B83,$J$12,$J$11,0,0),"")</f>
        <v>-27597.306644378124</v>
      </c>
      <c r="L83" s="30">
        <f>IF(B82&lt;'Умови та класичний графік'!$J$14,-(SUM(M83:V83)),"")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графік'!$J$14,XIRR($G$34:G83,$C$34:C83,0),"")</f>
        <v>5.7279477539062498E-2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графік'!$J$14,EDATE(C83,1),"")</f>
        <v>45717</v>
      </c>
      <c r="D84" s="36">
        <f>IF(B83&lt;'Умови та класичний графік'!$J$14,C83,"")</f>
        <v>45689</v>
      </c>
      <c r="E84" s="26">
        <f>IF(B83&lt;'Умови та класичний графік'!$J$14,C84-1,"")</f>
        <v>45716</v>
      </c>
      <c r="F84" s="37">
        <f>IF(B83&lt;'Умови та класичний графік'!$J$14,E84-D84+1,"")</f>
        <v>28</v>
      </c>
      <c r="G84" s="148">
        <f>IF(B83&lt;'Умови та класичний графік'!$J$14,-(SUM(J84:L84)),"")</f>
        <v>227530.73044224025</v>
      </c>
      <c r="H84" s="148"/>
      <c r="I84" s="32">
        <f>IF(B83&lt;'Умови та класичний графік'!$J$14,I83+J84,"")</f>
        <v>2145410.8972300841</v>
      </c>
      <c r="J84" s="32">
        <f>IF(B83&lt;'Умови та класичний графік'!$J$14,PPMT($J$20/12,B84,$J$12,$J$11,0,0),"")</f>
        <v>-202099.36922233898</v>
      </c>
      <c r="K84" s="32">
        <f>IF(B83&lt;'Умови та класичний графік'!$J$14,IPMT($J$20/12,B84,$J$12,$J$11,0,0),"")</f>
        <v>-25431.361219901279</v>
      </c>
      <c r="L84" s="30">
        <f>IF(B83&lt;'Умови та класичний графік'!$J$14,-(SUM(M84:V84)),"")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графік'!$J$14,XIRR($G$34:G84,$C$34:C84,0),"")</f>
        <v>6.665062011718749E-2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графік'!$J$14,EDATE(C84,1),"")</f>
        <v>45748</v>
      </c>
      <c r="D85" s="36">
        <f>IF(B84&lt;'Умови та класичний графік'!$J$14,C84,"")</f>
        <v>45717</v>
      </c>
      <c r="E85" s="26">
        <f>IF(B84&lt;'Умови та класичний графік'!$J$14,C85-1,"")</f>
        <v>45747</v>
      </c>
      <c r="F85" s="37">
        <f>IF(B84&lt;'Умови та класичний графік'!$J$14,E85-D85+1,"")</f>
        <v>31</v>
      </c>
      <c r="G85" s="148">
        <f>IF(B84&lt;'Умови та класичний графік'!$J$14,-(SUM(J85:L85)),"")</f>
        <v>227530.73044224025</v>
      </c>
      <c r="H85" s="148"/>
      <c r="I85" s="32">
        <f>IF(B84&lt;'Умови та класичний графік'!$J$14,I84+J85,"")</f>
        <v>1941122.1181745031</v>
      </c>
      <c r="J85" s="32">
        <f>IF(B84&lt;'Умови та класичний графік'!$J$14,PPMT($J$20/12,B85,$J$12,$J$11,0,0),"")</f>
        <v>-204288.77905558099</v>
      </c>
      <c r="K85" s="32">
        <f>IF(B84&lt;'Умови та класичний графік'!$J$14,IPMT($J$20/12,B85,$J$12,$J$11,0,0),"")</f>
        <v>-23241.951386659275</v>
      </c>
      <c r="L85" s="30">
        <f>IF(B84&lt;'Умови та класичний графік'!$J$14,-(SUM(M85:V85)),"")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графік'!$J$14,XIRR($G$34:G85,$C$34:C85,0),"")</f>
        <v>7.5604018554687499E-2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графік'!$J$14,EDATE(C85,1),"")</f>
        <v>45778</v>
      </c>
      <c r="D86" s="36">
        <f>IF(B85&lt;'Умови та класичний графік'!$J$14,C85,"")</f>
        <v>45748</v>
      </c>
      <c r="E86" s="26">
        <f>IF(B85&lt;'Умови та класичний графік'!$J$14,C86-1,"")</f>
        <v>45777</v>
      </c>
      <c r="F86" s="37">
        <f>IF(B85&lt;'Умови та класичний графік'!$J$14,E86-D86+1,"")</f>
        <v>30</v>
      </c>
      <c r="G86" s="148">
        <f>IF(B85&lt;'Умови та класичний графік'!$J$14,-(SUM(J86:L86)),"")</f>
        <v>227530.73044224025</v>
      </c>
      <c r="H86" s="148"/>
      <c r="I86" s="32">
        <f>IF(B85&lt;'Умови та класичний графік'!$J$14,I85+J86,"")</f>
        <v>1734620.2106791534</v>
      </c>
      <c r="J86" s="32">
        <f>IF(B85&lt;'Умови та класичний графік'!$J$14,PPMT($J$20/12,B86,$J$12,$J$11,0,0),"")</f>
        <v>-206501.90749534976</v>
      </c>
      <c r="K86" s="32">
        <f>IF(B85&lt;'Умови та класичний графік'!$J$14,IPMT($J$20/12,B86,$J$12,$J$11,0,0),"")</f>
        <v>-21028.822946890483</v>
      </c>
      <c r="L86" s="30">
        <f>IF(B85&lt;'Умови та класичний графік'!$J$14,-(SUM(M86:V86)),"")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графік'!$J$14,XIRR($G$34:G86,$C$34:C86,0),"")</f>
        <v>8.4163295898437504E-2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графік'!$J$14,EDATE(C86,1),"")</f>
        <v>45809</v>
      </c>
      <c r="D87" s="36">
        <f>IF(B86&lt;'Умови та класичний графік'!$J$14,C86,"")</f>
        <v>45778</v>
      </c>
      <c r="E87" s="26">
        <f>IF(B86&lt;'Умови та класичний графік'!$J$14,C87-1,"")</f>
        <v>45808</v>
      </c>
      <c r="F87" s="37">
        <f>IF(B86&lt;'Умови та класичний графік'!$J$14,E87-D87+1,"")</f>
        <v>31</v>
      </c>
      <c r="G87" s="148">
        <f>IF(B86&lt;'Умови та класичний графік'!$J$14,-(SUM(J87:L87)),"")</f>
        <v>227530.73044224025</v>
      </c>
      <c r="H87" s="148"/>
      <c r="I87" s="32">
        <f>IF(B86&lt;'Умови та класичний графік'!$J$14,I86+J87,"")</f>
        <v>1525881.1991859374</v>
      </c>
      <c r="J87" s="32">
        <f>IF(B86&lt;'Умови та класичний графік'!$J$14,PPMT($J$20/12,B87,$J$12,$J$11,0,0),"")</f>
        <v>-208739.01149321606</v>
      </c>
      <c r="K87" s="32">
        <f>IF(B86&lt;'Умови та класичний графік'!$J$14,IPMT($J$20/12,B87,$J$12,$J$11,0,0),"")</f>
        <v>-18791.718949024194</v>
      </c>
      <c r="L87" s="30">
        <f>IF(B86&lt;'Умови та класичний графік'!$J$14,-(SUM(M87:V87)),"")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графік'!$J$14,XIRR($G$34:G87,$C$34:C87,0),"")</f>
        <v>9.2347309570312508E-2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графік'!$J$14,EDATE(C87,1),"")</f>
        <v>45839</v>
      </c>
      <c r="D88" s="36">
        <f>IF(B87&lt;'Умови та класичний графік'!$J$14,C87,"")</f>
        <v>45809</v>
      </c>
      <c r="E88" s="26">
        <f>IF(B87&lt;'Умови та класичний графік'!$J$14,C88-1,"")</f>
        <v>45838</v>
      </c>
      <c r="F88" s="37">
        <f>IF(B87&lt;'Умови та класичний графік'!$J$14,E88-D88+1,"")</f>
        <v>30</v>
      </c>
      <c r="G88" s="148">
        <f>IF(B87&lt;'Умови та класичний графік'!$J$14,-(SUM(J88:L88)),"")</f>
        <v>227530.73044224022</v>
      </c>
      <c r="H88" s="148"/>
      <c r="I88" s="32">
        <f>IF(B87&lt;'Умови та класичний графік'!$J$14,I87+J88,"")</f>
        <v>1314880.8484015448</v>
      </c>
      <c r="J88" s="32">
        <f>IF(B87&lt;'Умови та класичний графік'!$J$14,PPMT($J$20/12,B88,$J$12,$J$11,0,0),"")</f>
        <v>-211000.35078439253</v>
      </c>
      <c r="K88" s="32">
        <f>IF(B87&lt;'Умови та класичний графік'!$J$14,IPMT($J$20/12,B88,$J$12,$J$11,0,0),"")</f>
        <v>-16530.379657847687</v>
      </c>
      <c r="L88" s="30">
        <f>IF(B87&lt;'Умови та класичний графік'!$J$14,-(SUM(M88:V88)),"")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графік'!$J$14,XIRR($G$34:G88,$C$34:C88,0),"")</f>
        <v>0.10017737792968751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графік'!$J$14,EDATE(C88,1),"")</f>
        <v>45870</v>
      </c>
      <c r="D89" s="36">
        <f>IF(B88&lt;'Умови та класичний графік'!$J$14,C88,"")</f>
        <v>45839</v>
      </c>
      <c r="E89" s="26">
        <f>IF(B88&lt;'Умови та класичний графік'!$J$14,C89-1,"")</f>
        <v>45869</v>
      </c>
      <c r="F89" s="37">
        <f>IF(B88&lt;'Умови та класичний графік'!$J$14,E89-D89+1,"")</f>
        <v>31</v>
      </c>
      <c r="G89" s="148">
        <f>IF(B88&lt;'Умови та класичний графік'!$J$14,-(SUM(J89:L89)),"")</f>
        <v>227530.73044224025</v>
      </c>
      <c r="H89" s="148"/>
      <c r="I89" s="32">
        <f>IF(B88&lt;'Умови та класичний графік'!$J$14,I88+J89,"")</f>
        <v>1101594.6604836546</v>
      </c>
      <c r="J89" s="32">
        <f>IF(B88&lt;'Умови та класичний графік'!$J$14,PPMT($J$20/12,B89,$J$12,$J$11,0,0),"")</f>
        <v>-213286.18791789014</v>
      </c>
      <c r="K89" s="32">
        <f>IF(B88&lt;'Умови та класичний графік'!$J$14,IPMT($J$20/12,B89,$J$12,$J$11,0,0),"")</f>
        <v>-14244.542524350103</v>
      </c>
      <c r="L89" s="30">
        <f>IF(B88&lt;'Умови та класичний графік'!$J$14,-(SUM(M89:V89)),"")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графік'!$J$14,XIRR($G$34:G89,$C$34:C89,0),"")</f>
        <v>0.10766982910156252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графік'!$J$14,EDATE(C89,1),"")</f>
        <v>45901</v>
      </c>
      <c r="D90" s="36">
        <f>IF(B89&lt;'Умови та класичний графік'!$J$14,C89,"")</f>
        <v>45870</v>
      </c>
      <c r="E90" s="26">
        <f>IF(B89&lt;'Умови та класичний графік'!$J$14,C90-1,"")</f>
        <v>45900</v>
      </c>
      <c r="F90" s="37">
        <f>IF(B89&lt;'Умови та класичний графік'!$J$14,E90-D90+1,"")</f>
        <v>31</v>
      </c>
      <c r="G90" s="148">
        <f>IF(B89&lt;'Умови та класичний графік'!$J$14,-(SUM(J90:L90)),"")</f>
        <v>227530.73044224025</v>
      </c>
      <c r="H90" s="148"/>
      <c r="I90" s="32">
        <f>IF(B89&lt;'Умови та класичний графік'!$J$14,I89+J90,"")</f>
        <v>885997.87219665397</v>
      </c>
      <c r="J90" s="32">
        <f>IF(B89&lt;'Умови та класичний графік'!$J$14,PPMT($J$20/12,B90,$J$12,$J$11,0,0),"")</f>
        <v>-215596.78828700061</v>
      </c>
      <c r="K90" s="32">
        <f>IF(B89&lt;'Умови та класичний графік'!$J$14,IPMT($J$20/12,B90,$J$12,$J$11,0,0),"")</f>
        <v>-11933.942155239625</v>
      </c>
      <c r="L90" s="30">
        <f>IF(B89&lt;'Умови та класичний графік'!$J$14,-(SUM(M90:V90)),"")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графік'!$J$14,XIRR($G$34:G90,$C$34:C90,0),"")</f>
        <v>0.11484179199218754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графік'!$J$14,EDATE(C90,1),"")</f>
        <v>45931</v>
      </c>
      <c r="D91" s="36">
        <f>IF(B90&lt;'Умови та класичний графік'!$J$14,C90,"")</f>
        <v>45901</v>
      </c>
      <c r="E91" s="26">
        <f>IF(B90&lt;'Умови та класичний графік'!$J$14,C91-1,"")</f>
        <v>45930</v>
      </c>
      <c r="F91" s="37">
        <f>IF(B90&lt;'Умови та класичний графік'!$J$14,E91-D91+1,"")</f>
        <v>30</v>
      </c>
      <c r="G91" s="148">
        <f>IF(B90&lt;'Умови та класичний графік'!$J$14,-(SUM(J91:L91)),"")</f>
        <v>227530.73044224025</v>
      </c>
      <c r="H91" s="148"/>
      <c r="I91" s="32">
        <f>IF(B90&lt;'Умови та класичний графік'!$J$14,I90+J91,"")</f>
        <v>668065.45203654421</v>
      </c>
      <c r="J91" s="32">
        <f>IF(B90&lt;'Умови та класичний графік'!$J$14,PPMT($J$20/12,B91,$J$12,$J$11,0,0),"")</f>
        <v>-217932.42016010979</v>
      </c>
      <c r="K91" s="32">
        <f>IF(B90&lt;'Умови та класичний графік'!$J$14,IPMT($J$20/12,B91,$J$12,$J$11,0,0),"")</f>
        <v>-9598.310282130451</v>
      </c>
      <c r="L91" s="30">
        <f>IF(B90&lt;'Умови та класичний графік'!$J$14,-(SUM(M91:V91)),"")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графік'!$J$14,XIRR($G$34:G91,$C$34:C91,0),"")</f>
        <v>0.12171156738281252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графік'!$J$14,EDATE(C91,1),"")</f>
        <v>45962</v>
      </c>
      <c r="D92" s="36">
        <f>IF(B91&lt;'Умови та класичний графік'!$J$14,C91,"")</f>
        <v>45931</v>
      </c>
      <c r="E92" s="26">
        <f>IF(B91&lt;'Умови та класичний графік'!$J$14,C92-1,"")</f>
        <v>45961</v>
      </c>
      <c r="F92" s="37">
        <f>IF(B91&lt;'Умови та класичний графік'!$J$14,E92-D92+1,"")</f>
        <v>31</v>
      </c>
      <c r="G92" s="148">
        <f>IF(B91&lt;'Умови та класичний графік'!$J$14,-(SUM(J92:L92)),"")</f>
        <v>227530.73044224022</v>
      </c>
      <c r="H92" s="148"/>
      <c r="I92" s="32">
        <f>IF(B91&lt;'Умови та класичний графік'!$J$14,I91+J92,"")</f>
        <v>447772.09732469992</v>
      </c>
      <c r="J92" s="32">
        <f>IF(B91&lt;'Умови та класичний графік'!$J$14,PPMT($J$20/12,B92,$J$12,$J$11,0,0),"")</f>
        <v>-220293.35471184429</v>
      </c>
      <c r="K92" s="32">
        <f>IF(B91&lt;'Умови та класичний графік'!$J$14,IPMT($J$20/12,B92,$J$12,$J$11,0,0),"")</f>
        <v>-7237.3757303959283</v>
      </c>
      <c r="L92" s="30">
        <f>IF(B91&lt;'Умови та класичний графік'!$J$14,-(SUM(M92:V92)),"")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графік'!$J$14,XIRR($G$34:G92,$C$34:C92,0),"")</f>
        <v>0.12829234863281247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графік'!$J$14,EDATE(C92,1),"")</f>
        <v>45992</v>
      </c>
      <c r="D93" s="36">
        <f>IF(B92&lt;'Умови та класичний графік'!$J$14,C92,"")</f>
        <v>45962</v>
      </c>
      <c r="E93" s="26">
        <f>IF(B92&lt;'Умови та класичний графік'!$J$14,C93-1,"")</f>
        <v>45991</v>
      </c>
      <c r="F93" s="37">
        <f>IF(B92&lt;'Умови та класичний графік'!$J$14,E93-D93+1,"")</f>
        <v>30</v>
      </c>
      <c r="G93" s="148">
        <f>IF(B92&lt;'Умови та класичний графік'!$J$14,-(SUM(J93:L93)),"")</f>
        <v>227530.73044224022</v>
      </c>
      <c r="H93" s="148"/>
      <c r="I93" s="32">
        <f>IF(B92&lt;'Умови та класичний графік'!$J$14,I92+J93,"")</f>
        <v>225092.23127014397</v>
      </c>
      <c r="J93" s="32">
        <f>IF(B92&lt;'Умови та класичний графік'!$J$14,PPMT($J$20/12,B93,$J$12,$J$11,0,0),"")</f>
        <v>-222679.86605455595</v>
      </c>
      <c r="K93" s="32">
        <f>IF(B92&lt;'Умови та класичний графік'!$J$14,IPMT($J$20/12,B93,$J$12,$J$11,0,0),"")</f>
        <v>-4850.8643876842816</v>
      </c>
      <c r="L93" s="30">
        <f>IF(B92&lt;'Умови та класичний графік'!$J$14,-(SUM(M93:V93)),"")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графік'!$J$14,XIRR($G$34:G93,$C$34:C93,0),"")</f>
        <v>0.13460063964843749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графік'!$J$14,EDATE(C93,1),"")</f>
        <v>46023</v>
      </c>
      <c r="D94" s="36">
        <f>IF(B93&lt;'Умови та класичний графік'!$J$14,C93,"")</f>
        <v>45992</v>
      </c>
      <c r="E94" s="26">
        <f>IF(B93&lt;'Умови та класичний графік'!$J$14,C94-1,"")</f>
        <v>46022</v>
      </c>
      <c r="F94" s="37">
        <f>IF(B93&lt;'Умови та класичний графік'!$J$14,E94-D94+1,"")</f>
        <v>31</v>
      </c>
      <c r="G94" s="148">
        <f>IF(B93&lt;'Умови та класичний графік'!$J$14,-(SUM(J94:L94)),"")</f>
        <v>227530.73044224025</v>
      </c>
      <c r="H94" s="148"/>
      <c r="I94" s="32">
        <f>IF(B93&lt;'Умови та класичний графік'!$J$14,I93+J94,"")</f>
        <v>-3.0267983675003052E-9</v>
      </c>
      <c r="J94" s="32">
        <f>IF(B93&lt;'Умови та класичний графік'!$J$14,PPMT($J$20/12,B94,$J$12,$J$11,0,0),"")</f>
        <v>-225092.23127014699</v>
      </c>
      <c r="K94" s="32">
        <f>IF(B93&lt;'Умови та класичний графік'!$J$14,IPMT($J$20/12,B94,$J$12,$J$11,0,0),"")</f>
        <v>-2438.4991720932589</v>
      </c>
      <c r="L94" s="30">
        <f>IF(B93&lt;'Умови та класичний графік'!$J$14,-(SUM(M94:V94)),"")</f>
        <v>0</v>
      </c>
      <c r="M94" s="38"/>
      <c r="N94" s="39"/>
      <c r="O94" s="39"/>
      <c r="P94" s="32"/>
      <c r="Q94" s="40"/>
      <c r="R94" s="40"/>
      <c r="S94" s="41"/>
      <c r="T94" s="41"/>
      <c r="U94" s="33"/>
      <c r="V94" s="41"/>
      <c r="W94" s="43">
        <f>IF(B93&lt;'Умови та класичний графік'!$J$14,XIRR($G$34:G94,$C$34:C94,0),"")</f>
        <v>0.14064788574218751</v>
      </c>
      <c r="X94" s="42"/>
      <c r="Y94" s="35"/>
    </row>
    <row r="95" spans="2:25" hidden="1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48" t="str">
        <f>IF(B94&lt;'Умови та класичний графік'!$J$14,-(SUM(J95:L95)),"")</f>
        <v/>
      </c>
      <c r="H95" s="148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hidden="1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48" t="str">
        <f>IF(B95&lt;'Умови та класичний графік'!$J$14,-(SUM(J96:L96)),"")</f>
        <v/>
      </c>
      <c r="H96" s="148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hidden="1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48" t="str">
        <f>IF(B96&lt;'Умови та класичний графік'!$J$14,-(SUM(J97:L97)),"")</f>
        <v/>
      </c>
      <c r="H97" s="148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hidden="1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48" t="str">
        <f>IF(B97&lt;'Умови та класичний графік'!$J$14,-(SUM(J98:L98)),"")</f>
        <v/>
      </c>
      <c r="H98" s="148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hidden="1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48" t="str">
        <f>IF(B98&lt;'Умови та класичний графік'!$J$14,-(SUM(J99:L99)),"")</f>
        <v/>
      </c>
      <c r="H99" s="148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hidden="1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48" t="str">
        <f>IF(B99&lt;'Умови та класичний графік'!$J$14,-(SUM(J100:L100)),"")</f>
        <v/>
      </c>
      <c r="H100" s="148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hidden="1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48" t="str">
        <f>IF(B100&lt;'Умови та класичний графік'!$J$14,-(SUM(J101:L101)),"")</f>
        <v/>
      </c>
      <c r="H101" s="148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hidden="1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48" t="str">
        <f>IF(B101&lt;'Умови та класичний графік'!$J$14,-(SUM(J102:L102)),"")</f>
        <v/>
      </c>
      <c r="H102" s="148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hidden="1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48" t="str">
        <f>IF(B102&lt;'Умови та класичний графік'!$J$14,-(SUM(J103:L103)),"")</f>
        <v/>
      </c>
      <c r="H103" s="148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hidden="1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48" t="str">
        <f>IF(B103&lt;'Умови та класичний графік'!$J$14,-(SUM(J104:L104)),"")</f>
        <v/>
      </c>
      <c r="H104" s="148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hidden="1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48" t="str">
        <f>IF(B104&lt;'Умови та класичний графік'!$J$14,-(SUM(J105:L105)),"")</f>
        <v/>
      </c>
      <c r="H105" s="148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hidden="1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48" t="str">
        <f>IF(B105&lt;'Умови та класичний графік'!$J$14,-(SUM(J106:L106)),"")</f>
        <v/>
      </c>
      <c r="H106" s="148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IF(B105&lt;'Умови та класичний графік'!$J$14,('Умови та класичний графік'!$J$15*$N$18)+(I106*$N$19),"")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hidden="1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48" t="str">
        <f>IF(B106&lt;'Умови та класичний графік'!$J$14,-(SUM(J107:L107)),"")</f>
        <v/>
      </c>
      <c r="H107" s="148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hidden="1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48" t="str">
        <f>IF(B107&lt;'Умови та класичний графік'!$J$14,-(SUM(J108:L108)),"")</f>
        <v/>
      </c>
      <c r="H108" s="148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hidden="1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48" t="str">
        <f>IF(B108&lt;'Умови та класичний графік'!$J$14,-(SUM(J109:L109)),"")</f>
        <v/>
      </c>
      <c r="H109" s="148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hidden="1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48" t="str">
        <f>IF(B109&lt;'Умови та класичний графік'!$J$14,-(SUM(J110:L110)),"")</f>
        <v/>
      </c>
      <c r="H110" s="148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hidden="1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48" t="str">
        <f>IF(B110&lt;'Умови та класичний графік'!$J$14,-(SUM(J111:L111)),"")</f>
        <v/>
      </c>
      <c r="H111" s="148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hidden="1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48" t="str">
        <f>IF(B111&lt;'Умови та класичний графік'!$J$14,-(SUM(J112:L112)),"")</f>
        <v/>
      </c>
      <c r="H112" s="148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hidden="1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48" t="str">
        <f>IF(B112&lt;'Умови та класичний графік'!$J$14,-(SUM(J113:L113)),"")</f>
        <v/>
      </c>
      <c r="H113" s="148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hidden="1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48" t="str">
        <f>IF(B113&lt;'Умови та класичний графік'!$J$14,-(SUM(J114:L114)),"")</f>
        <v/>
      </c>
      <c r="H114" s="148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hidden="1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48" t="str">
        <f>IF(B114&lt;'Умови та класичний графік'!$J$14,-(SUM(J115:L115)),"")</f>
        <v/>
      </c>
      <c r="H115" s="148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hidden="1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48" t="str">
        <f>IF(B115&lt;'Умови та класичний графік'!$J$14,-(SUM(J116:L116)),"")</f>
        <v/>
      </c>
      <c r="H116" s="148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hidden="1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48" t="str">
        <f>IF(B116&lt;'Умови та класичний графік'!$J$14,-(SUM(J117:L117)),"")</f>
        <v/>
      </c>
      <c r="H117" s="148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hidden="1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48" t="str">
        <f>IF(B117&lt;'Умови та класичний графік'!$J$14,-(SUM(J118:L118)),"")</f>
        <v/>
      </c>
      <c r="H118" s="148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IF(B117&lt;'Умови та класичний графік'!$J$14,('Умови та класичний графік'!$J$15*$N$18)+(I118*$N$19),"")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48" t="str">
        <f>IF(B118&lt;'Умови та класичний графік'!$J$14,-(SUM(J119:L119)),"")</f>
        <v/>
      </c>
      <c r="H119" s="148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48" t="str">
        <f>IF(B119&lt;'Умови та класичний графік'!$J$14,-(SUM(J120:L120)),"")</f>
        <v/>
      </c>
      <c r="H120" s="148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48" t="str">
        <f>IF(B120&lt;'Умови та класичний графік'!$J$14,-(SUM(J121:L121)),"")</f>
        <v/>
      </c>
      <c r="H121" s="148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48" t="str">
        <f>IF(B121&lt;'Умови та класичний графік'!$J$14,-(SUM(J122:L122)),"")</f>
        <v/>
      </c>
      <c r="H122" s="148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48" t="str">
        <f>IF(B122&lt;'Умови та класичний графік'!$J$14,-(SUM(J123:L123)),"")</f>
        <v/>
      </c>
      <c r="H123" s="148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48" t="str">
        <f>IF(B123&lt;'Умови та класичний графік'!$J$14,-(SUM(J124:L124)),"")</f>
        <v/>
      </c>
      <c r="H124" s="148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48" t="str">
        <f>IF(B124&lt;'Умови та класичний графік'!$J$14,-(SUM(J125:L125)),"")</f>
        <v/>
      </c>
      <c r="H125" s="148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48" t="str">
        <f>IF(B125&lt;'Умови та класичний графік'!$J$14,-(SUM(J126:L126)),"")</f>
        <v/>
      </c>
      <c r="H126" s="148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48" t="str">
        <f>IF(B126&lt;'Умови та класичний графік'!$J$14,-(SUM(J127:L127)),"")</f>
        <v/>
      </c>
      <c r="H127" s="148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48" t="str">
        <f>IF(B127&lt;'Умови та класичний графік'!$J$14,-(SUM(J128:L128)),"")</f>
        <v/>
      </c>
      <c r="H128" s="148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48" t="str">
        <f>IF(B128&lt;'Умови та класичний графік'!$J$14,-(SUM(J129:L129)),"")</f>
        <v/>
      </c>
      <c r="H129" s="148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48" t="str">
        <f>IF(B129&lt;'Умови та класичний графік'!$J$14,-(SUM(J130:L130)),"")</f>
        <v/>
      </c>
      <c r="H130" s="148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IF(B129&lt;'Умови та класичний графік'!$J$14,('Умови та класичний графік'!$J$15*$N$18)+(I130*$N$19),"")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48" t="str">
        <f>IF(B130&lt;'Умови та класичний графік'!$J$14,-(SUM(J131:L131)),"")</f>
        <v/>
      </c>
      <c r="H131" s="148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48" t="str">
        <f>IF(B131&lt;'Умови та класичний графік'!$J$14,-(SUM(J132:L132)),"")</f>
        <v/>
      </c>
      <c r="H132" s="148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48" t="str">
        <f>IF(B132&lt;'Умови та класичний графік'!$J$14,-(SUM(J133:L133)),"")</f>
        <v/>
      </c>
      <c r="H133" s="148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48" t="str">
        <f>IF(B133&lt;'Умови та класичний графік'!$J$14,-(SUM(J134:L134)),"")</f>
        <v/>
      </c>
      <c r="H134" s="148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48" t="str">
        <f>IF(B134&lt;'Умови та класичний графік'!$J$14,-(SUM(J135:L135)),"")</f>
        <v/>
      </c>
      <c r="H135" s="148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48" t="str">
        <f>IF(B135&lt;'Умови та класичний графік'!$J$14,-(SUM(J136:L136)),"")</f>
        <v/>
      </c>
      <c r="H136" s="148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48" t="str">
        <f>IF(B136&lt;'Умови та класичний графік'!$J$14,-(SUM(J137:L137)),"")</f>
        <v/>
      </c>
      <c r="H137" s="148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48" t="str">
        <f>IF(B137&lt;'Умови та класичний графік'!$J$14,-(SUM(J138:L138)),"")</f>
        <v/>
      </c>
      <c r="H138" s="148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48" t="str">
        <f>IF(B138&lt;'Умови та класичний графік'!$J$14,-(SUM(J139:L139)),"")</f>
        <v/>
      </c>
      <c r="H139" s="148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48" t="str">
        <f>IF(B139&lt;'Умови та класичний графік'!$J$14,-(SUM(J140:L140)),"")</f>
        <v/>
      </c>
      <c r="H140" s="148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48" t="str">
        <f>IF(B140&lt;'Умови та класичний графік'!$J$14,-(SUM(J141:L141)),"")</f>
        <v/>
      </c>
      <c r="H141" s="148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48" t="str">
        <f>IF(B141&lt;'Умови та класичний графік'!$J$14,-(SUM(J142:L142)),"")</f>
        <v/>
      </c>
      <c r="H142" s="148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IF(B141&lt;'Умови та класичний графік'!$J$14,('Умови та класичний графік'!$J$15*$N$18)+(I142*$N$19),"")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48" t="str">
        <f>IF(B142&lt;'Умови та класичний графік'!$J$14,-(SUM(J143:L143)),"")</f>
        <v/>
      </c>
      <c r="H143" s="148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48" t="str">
        <f>IF(B143&lt;'Умови та класичний графік'!$J$14,-(SUM(J144:L144)),"")</f>
        <v/>
      </c>
      <c r="H144" s="148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48" t="str">
        <f>IF(B144&lt;'Умови та класичний графік'!$J$14,-(SUM(J145:L145)),"")</f>
        <v/>
      </c>
      <c r="H145" s="148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48" t="str">
        <f>IF(B145&lt;'Умови та класичний графік'!$J$14,-(SUM(J146:L146)),"")</f>
        <v/>
      </c>
      <c r="H146" s="148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48" t="str">
        <f>IF(B146&lt;'Умови та класичний графік'!$J$14,-(SUM(J147:L147)),"")</f>
        <v/>
      </c>
      <c r="H147" s="148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48" t="str">
        <f>IF(B147&lt;'Умови та класичний графік'!$J$14,-(SUM(J148:L148)),"")</f>
        <v/>
      </c>
      <c r="H148" s="148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48" t="str">
        <f>IF(B148&lt;'Умови та класичний графік'!$J$14,-(SUM(J149:L149)),"")</f>
        <v/>
      </c>
      <c r="H149" s="148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48" t="str">
        <f>IF(B149&lt;'Умови та класичний графік'!$J$14,-(SUM(J150:L150)),"")</f>
        <v/>
      </c>
      <c r="H150" s="148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48" t="str">
        <f>IF(B150&lt;'Умови та класичний графік'!$J$14,-(SUM(J151:L151)),"")</f>
        <v/>
      </c>
      <c r="H151" s="148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48" t="str">
        <f>IF(B151&lt;'Умови та класичний графік'!$J$14,-(SUM(J152:L152)),"")</f>
        <v/>
      </c>
      <c r="H152" s="148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48" t="str">
        <f>IF(B152&lt;'Умови та класичний графік'!$J$14,-(SUM(J153:L153)),"")</f>
        <v/>
      </c>
      <c r="H153" s="148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48" t="str">
        <f>IF(B153&lt;'Умови та класичний графік'!$J$14,-(SUM(J154:L154)),"")</f>
        <v/>
      </c>
      <c r="H154" s="148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IF(B153&lt;'Умови та класичний графік'!$J$14,('Умови та класичний графік'!$J$15*$N$18)+(I154*$N$19),"")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48" t="str">
        <f>IF(B154&lt;'Умови та класичний графік'!$J$14,-(SUM(J155:L155)),"")</f>
        <v/>
      </c>
      <c r="H155" s="148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48" t="str">
        <f>IF(B155&lt;'Умови та класичний графік'!$J$14,-(SUM(J156:L156)),"")</f>
        <v/>
      </c>
      <c r="H156" s="148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48" t="str">
        <f>IF(B156&lt;'Умови та класичний графік'!$J$14,-(SUM(J157:L157)),"")</f>
        <v/>
      </c>
      <c r="H157" s="148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48" t="str">
        <f>IF(B157&lt;'Умови та класичний графік'!$J$14,-(SUM(J158:L158)),"")</f>
        <v/>
      </c>
      <c r="H158" s="148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48" t="str">
        <f>IF(B158&lt;'Умови та класичний графік'!$J$14,-(SUM(J159:L159)),"")</f>
        <v/>
      </c>
      <c r="H159" s="148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48" t="str">
        <f>IF(B159&lt;'Умови та класичний графік'!$J$14,-(SUM(J160:L160)),"")</f>
        <v/>
      </c>
      <c r="H160" s="148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48" t="str">
        <f>IF(B160&lt;'Умови та класичний графік'!$J$14,-(SUM(J161:L161)),"")</f>
        <v/>
      </c>
      <c r="H161" s="148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48" t="str">
        <f>IF(B161&lt;'Умови та класичний графік'!$J$14,-(SUM(J162:L162)),"")</f>
        <v/>
      </c>
      <c r="H162" s="148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48" t="str">
        <f>IF(B162&lt;'Умови та класичний графік'!$J$14,-(SUM(J163:L163)),"")</f>
        <v/>
      </c>
      <c r="H163" s="148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48" t="str">
        <f>IF(B163&lt;'Умови та класичний графік'!$J$14,-(SUM(J164:L164)),"")</f>
        <v/>
      </c>
      <c r="H164" s="148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48" t="str">
        <f>IF(B164&lt;'Умови та класичний графік'!$J$14,-(SUM(J165:L165)),"")</f>
        <v/>
      </c>
      <c r="H165" s="148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48" t="str">
        <f>IF(B165&lt;'Умови та класичний графік'!$J$14,-(SUM(J166:L166)),"")</f>
        <v/>
      </c>
      <c r="H166" s="148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IF(B165&lt;'Умови та класичний графік'!$J$14,('Умови та класичний графік'!$J$15*$N$18)+(I166*$N$19),"")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48" t="str">
        <f>IF(B166&lt;'Умови та класичний графік'!$J$14,-(SUM(J167:L167)),"")</f>
        <v/>
      </c>
      <c r="H167" s="148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48" t="str">
        <f>IF(B167&lt;'Умови та класичний графік'!$J$14,-(SUM(J168:L168)),"")</f>
        <v/>
      </c>
      <c r="H168" s="148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48" t="str">
        <f>IF(B168&lt;'Умови та класичний графік'!$J$14,-(SUM(J169:L169)),"")</f>
        <v/>
      </c>
      <c r="H169" s="148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48" t="str">
        <f>IF(B169&lt;'Умови та класичний графік'!$J$14,-(SUM(J170:L170)),"")</f>
        <v/>
      </c>
      <c r="H170" s="148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48" t="str">
        <f>IF(B170&lt;'Умови та класичний графік'!$J$14,-(SUM(J171:L171)),"")</f>
        <v/>
      </c>
      <c r="H171" s="148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48" t="str">
        <f>IF(B171&lt;'Умови та класичний графік'!$J$14,-(SUM(J172:L172)),"")</f>
        <v/>
      </c>
      <c r="H172" s="148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48" t="str">
        <f>IF(B172&lt;'Умови та класичний графік'!$J$14,-(SUM(J173:L173)),"")</f>
        <v/>
      </c>
      <c r="H173" s="148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48" t="str">
        <f>IF(B173&lt;'Умови та класичний графік'!$J$14,-(SUM(J174:L174)),"")</f>
        <v/>
      </c>
      <c r="H174" s="148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48" t="str">
        <f>IF(B174&lt;'Умови та класичний графік'!$J$14,-(SUM(J175:L175)),"")</f>
        <v/>
      </c>
      <c r="H175" s="148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48" t="str">
        <f>IF(B175&lt;'Умови та класичний графік'!$J$14,-(SUM(J176:L176)),"")</f>
        <v/>
      </c>
      <c r="H176" s="148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48" t="str">
        <f>IF(B176&lt;'Умови та класичний графік'!$J$14,-(SUM(J177:L177)),"")</f>
        <v/>
      </c>
      <c r="H177" s="148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48" t="str">
        <f>IF(B177&lt;'Умови та класичний графік'!$J$14,-(SUM(J178:L178)),"")</f>
        <v/>
      </c>
      <c r="H178" s="148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IF(B177&lt;'Умови та класичний графік'!$J$14,('Умови та класичний графік'!$J$15*$N$18)+(I178*$N$19),"")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48" t="str">
        <f>IF(B178&lt;'Умови та класичний графік'!$J$14,-(SUM(J179:L179)),"")</f>
        <v/>
      </c>
      <c r="H179" s="148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48" t="str">
        <f>IF(B179&lt;'Умови та класичний графік'!$J$14,-(SUM(J180:L180)),"")</f>
        <v/>
      </c>
      <c r="H180" s="148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48" t="str">
        <f>IF(B180&lt;'Умови та класичний графік'!$J$14,-(SUM(J181:L181)),"")</f>
        <v/>
      </c>
      <c r="H181" s="148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48" t="str">
        <f>IF(B181&lt;'Умови та класичний графік'!$J$14,-(SUM(J182:L182)),"")</f>
        <v/>
      </c>
      <c r="H182" s="148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48" t="str">
        <f>IF(B182&lt;'Умови та класичний графік'!$J$14,-(SUM(J183:L183)),"")</f>
        <v/>
      </c>
      <c r="H183" s="148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48" t="str">
        <f>IF(B183&lt;'Умови та класичний графік'!$J$14,-(SUM(J184:L184)),"")</f>
        <v/>
      </c>
      <c r="H184" s="148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48" t="str">
        <f>IF(B184&lt;'Умови та класичний графік'!$J$14,-(SUM(J185:L185)),"")</f>
        <v/>
      </c>
      <c r="H185" s="148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48" t="str">
        <f>IF(B185&lt;'Умови та класичний графік'!$J$14,-(SUM(J186:L186)),"")</f>
        <v/>
      </c>
      <c r="H186" s="148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48" t="str">
        <f>IF(B186&lt;'Умови та класичний графік'!$J$14,-(SUM(J187:L187)),"")</f>
        <v/>
      </c>
      <c r="H187" s="148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48" t="str">
        <f>IF(B187&lt;'Умови та класичний графік'!$J$14,-(SUM(J188:L188)),"")</f>
        <v/>
      </c>
      <c r="H188" s="148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48" t="str">
        <f>IF(B188&lt;'Умови та класичний графік'!$J$14,-(SUM(J189:L189)),"")</f>
        <v/>
      </c>
      <c r="H189" s="148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48" t="str">
        <f>IF(B189&lt;'Умови та класичний графік'!$J$14,-(SUM(J190:L190)),"")</f>
        <v/>
      </c>
      <c r="H190" s="148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IF(B189&lt;'Умови та класичний графік'!$J$14,('Умови та класичний графік'!$J$15*$N$18)+(I190*$N$19),"")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48" t="str">
        <f>IF(B190&lt;'Умови та класичний графік'!$J$14,-(SUM(J191:L191)),"")</f>
        <v/>
      </c>
      <c r="H191" s="148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48" t="str">
        <f>IF(B191&lt;'Умови та класичний графік'!$J$14,-(SUM(J192:L192)),"")</f>
        <v/>
      </c>
      <c r="H192" s="148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48" t="str">
        <f>IF(B192&lt;'Умови та класичний графік'!$J$14,-(SUM(J193:L193)),"")</f>
        <v/>
      </c>
      <c r="H193" s="148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48" t="str">
        <f>IF(B193&lt;'Умови та класичний графік'!$J$14,-(SUM(J194:L194)),"")</f>
        <v/>
      </c>
      <c r="H194" s="148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48" t="str">
        <f>IF(B194&lt;'Умови та класичний графік'!$J$14,-(SUM(J195:L195)),"")</f>
        <v/>
      </c>
      <c r="H195" s="148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48" t="str">
        <f>IF(B195&lt;'Умови та класичний графік'!$J$14,-(SUM(J196:L196)),"")</f>
        <v/>
      </c>
      <c r="H196" s="148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48" t="str">
        <f>IF(B196&lt;'Умови та класичний графік'!$J$14,-(SUM(J197:L197)),"")</f>
        <v/>
      </c>
      <c r="H197" s="148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48" t="str">
        <f>IF(B197&lt;'Умови та класичний графік'!$J$14,-(SUM(J198:L198)),"")</f>
        <v/>
      </c>
      <c r="H198" s="148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48" t="str">
        <f>IF(B198&lt;'Умови та класичний графік'!$J$14,-(SUM(J199:L199)),"")</f>
        <v/>
      </c>
      <c r="H199" s="148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48" t="str">
        <f>IF(B199&lt;'Умови та класичний графік'!$J$14,-(SUM(J200:L200)),"")</f>
        <v/>
      </c>
      <c r="H200" s="148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48" t="str">
        <f>IF(B200&lt;'Умови та класичний графік'!$J$14,-(SUM(J201:L201)),"")</f>
        <v/>
      </c>
      <c r="H201" s="148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48" t="str">
        <f>IF(B201&lt;'Умови та класичний графік'!$J$14,-(SUM(J202:L202)),"")</f>
        <v/>
      </c>
      <c r="H202" s="148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IF(B201&lt;'Умови та класичний графік'!$J$14,('Умови та класичний графік'!$J$15*$N$18)+(I202*$N$19),"")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48" t="str">
        <f>IF(B202&lt;'Умови та класичний графік'!$J$14,-(SUM(J203:L203)),"")</f>
        <v/>
      </c>
      <c r="H203" s="148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48" t="str">
        <f>IF(B203&lt;'Умови та класичний графік'!$J$14,-(SUM(J204:L204)),"")</f>
        <v/>
      </c>
      <c r="H204" s="148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48" t="str">
        <f>IF(B204&lt;'Умови та класичний графік'!$J$14,-(SUM(J205:L205)),"")</f>
        <v/>
      </c>
      <c r="H205" s="148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48" t="str">
        <f>IF(B205&lt;'Умови та класичний графік'!$J$14,-(SUM(J206:L206)),"")</f>
        <v/>
      </c>
      <c r="H206" s="148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48" t="str">
        <f>IF(B206&lt;'Умови та класичний графік'!$J$14,-(SUM(J207:L207)),"")</f>
        <v/>
      </c>
      <c r="H207" s="148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48" t="str">
        <f>IF(B207&lt;'Умови та класичний графік'!$J$14,-(SUM(J208:L208)),"")</f>
        <v/>
      </c>
      <c r="H208" s="148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48" t="str">
        <f>IF(B208&lt;'Умови та класичний графік'!$J$14,-(SUM(J209:L209)),"")</f>
        <v/>
      </c>
      <c r="H209" s="148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48" t="str">
        <f>IF(B209&lt;'Умови та класичний графік'!$J$14,-(SUM(J210:L210)),"")</f>
        <v/>
      </c>
      <c r="H210" s="148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48" t="str">
        <f>IF(B210&lt;'Умови та класичний графік'!$J$14,-(SUM(J211:L211)),"")</f>
        <v/>
      </c>
      <c r="H211" s="148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48" t="str">
        <f>IF(B211&lt;'Умови та класичний графік'!$J$14,-(SUM(J212:L212)),"")</f>
        <v/>
      </c>
      <c r="H212" s="148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48" t="str">
        <f>IF(B212&lt;'Умови та класичний графік'!$J$14,-(SUM(J213:L213)),"")</f>
        <v/>
      </c>
      <c r="H213" s="148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48" t="str">
        <f>IF(B213&lt;'Умови та класичний графік'!$J$14,-(SUM(J214:L214)),"")</f>
        <v/>
      </c>
      <c r="H214" s="148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IF(B213&lt;'Умови та класичний графік'!$J$14,('Умови та класичний графік'!$J$15*$N$18)+(I214*$N$19),"")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48" t="str">
        <f>IF(B214&lt;'Умови та класичний графік'!$J$14,-(SUM(J215:L215)),"")</f>
        <v/>
      </c>
      <c r="H215" s="148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48" t="str">
        <f>IF(B215&lt;'Умови та класичний графік'!$J$14,-(SUM(J216:L216)),"")</f>
        <v/>
      </c>
      <c r="H216" s="148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48" t="str">
        <f>IF(B216&lt;'Умови та класичний графік'!$J$14,-(SUM(J217:L217)),"")</f>
        <v/>
      </c>
      <c r="H217" s="148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48" t="str">
        <f>IF(B217&lt;'Умови та класичний графік'!$J$14,-(SUM(J218:L218)),"")</f>
        <v/>
      </c>
      <c r="H218" s="148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48" t="str">
        <f>IF(B218&lt;'Умови та класичний графік'!$J$14,-(SUM(J219:L219)),"")</f>
        <v/>
      </c>
      <c r="H219" s="148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48" t="str">
        <f>IF(B219&lt;'Умови та класичний графік'!$J$14,-(SUM(J220:L220)),"")</f>
        <v/>
      </c>
      <c r="H220" s="148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48" t="str">
        <f>IF(B220&lt;'Умови та класичний графік'!$J$14,-(SUM(J221:L221)),"")</f>
        <v/>
      </c>
      <c r="H221" s="148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48" t="str">
        <f>IF(B221&lt;'Умови та класичний графік'!$J$14,-(SUM(J222:L222)),"")</f>
        <v/>
      </c>
      <c r="H222" s="148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48" t="str">
        <f>IF(B222&lt;'Умови та класичний графік'!$J$14,-(SUM(J223:L223)),"")</f>
        <v/>
      </c>
      <c r="H223" s="148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48" t="str">
        <f>IF(B223&lt;'Умови та класичний графік'!$J$14,-(SUM(J224:L224)),"")</f>
        <v/>
      </c>
      <c r="H224" s="148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48" t="str">
        <f>IF(B224&lt;'Умови та класичний графік'!$J$14,-(SUM(J225:L225)),"")</f>
        <v/>
      </c>
      <c r="H225" s="148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48" t="str">
        <f>IF(B225&lt;'Умови та класичний графік'!$J$14,-(SUM(J226:L226)),"")</f>
        <v/>
      </c>
      <c r="H226" s="148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IF(B225&lt;'Умови та класичний графік'!$J$14,('Умови та класичний графік'!$J$15*$N$18)+(I226*$N$19),"")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48" t="str">
        <f>IF(B226&lt;'Умови та класичний графік'!$J$14,-(SUM(J227:L227)),"")</f>
        <v/>
      </c>
      <c r="H227" s="148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48" t="str">
        <f>IF(B227&lt;'Умови та класичний графік'!$J$14,-(SUM(J228:L228)),"")</f>
        <v/>
      </c>
      <c r="H228" s="148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48" t="str">
        <f>IF(B228&lt;'Умови та класичний графік'!$J$14,-(SUM(J229:L229)),"")</f>
        <v/>
      </c>
      <c r="H229" s="148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48" t="str">
        <f>IF(B229&lt;'Умови та класичний графік'!$J$14,-(SUM(J230:L230)),"")</f>
        <v/>
      </c>
      <c r="H230" s="148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48" t="str">
        <f>IF(B230&lt;'Умови та класичний графік'!$J$14,-(SUM(J231:L231)),"")</f>
        <v/>
      </c>
      <c r="H231" s="148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48" t="str">
        <f>IF(B231&lt;'Умови та класичний графік'!$J$14,-(SUM(J232:L232)),"")</f>
        <v/>
      </c>
      <c r="H232" s="148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48" t="str">
        <f>IF(B232&lt;'Умови та класичний графік'!$J$14,-(SUM(J233:L233)),"")</f>
        <v/>
      </c>
      <c r="H233" s="148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48" t="str">
        <f>IF(B233&lt;'Умови та класичний графік'!$J$14,-(SUM(J234:L234)),"")</f>
        <v/>
      </c>
      <c r="H234" s="148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48" t="str">
        <f>IF(B234&lt;'Умови та класичний графік'!$J$14,-(SUM(J235:L235)),"")</f>
        <v/>
      </c>
      <c r="H235" s="148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48" t="str">
        <f>IF(B235&lt;'Умови та класичний графік'!$J$14,-(SUM(J236:L236)),"")</f>
        <v/>
      </c>
      <c r="H236" s="148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48" t="str">
        <f>IF(B236&lt;'Умови та класичний графік'!$J$14,-(SUM(J237:L237)),"")</f>
        <v/>
      </c>
      <c r="H237" s="148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48" t="str">
        <f>IF(B237&lt;'Умови та класичний графік'!$J$14,-(SUM(J238:L238)),"")</f>
        <v/>
      </c>
      <c r="H238" s="148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IF(B237&lt;'Умови та класичний графік'!$J$14,('Умови та класичний графік'!$J$15*$N$18)+(I238*$N$19),"")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48" t="str">
        <f>IF(B238&lt;'Умови та класичний графік'!$J$14,-(SUM(J239:L239)),"")</f>
        <v/>
      </c>
      <c r="H239" s="148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48" t="str">
        <f>IF(B239&lt;'Умови та класичний графік'!$J$14,-(SUM(J240:L240)),"")</f>
        <v/>
      </c>
      <c r="H240" s="148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48" t="str">
        <f>IF(B240&lt;'Умови та класичний графік'!$J$14,-(SUM(J241:L241)),"")</f>
        <v/>
      </c>
      <c r="H241" s="148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48" t="str">
        <f>IF(B241&lt;'Умови та класичний графік'!$J$14,-(SUM(J242:L242)),"")</f>
        <v/>
      </c>
      <c r="H242" s="148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48" t="str">
        <f>IF(B242&lt;'Умови та класичний графік'!$J$14,-(SUM(J243:L243)),"")</f>
        <v/>
      </c>
      <c r="H243" s="148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48" t="str">
        <f>IF(B243&lt;'Умови та класичний графік'!$J$14,-(SUM(J244:L244)),"")</f>
        <v/>
      </c>
      <c r="H244" s="148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48" t="str">
        <f>IF(B244&lt;'Умови та класичний графік'!$J$14,-(SUM(J245:L245)),"")</f>
        <v/>
      </c>
      <c r="H245" s="148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48" t="str">
        <f>IF(B245&lt;'Умови та класичний графік'!$J$14,-(SUM(J246:L246)),"")</f>
        <v/>
      </c>
      <c r="H246" s="148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48" t="str">
        <f>IF(B246&lt;'Умови та класичний графік'!$J$14,-(SUM(J247:L247)),"")</f>
        <v/>
      </c>
      <c r="H247" s="148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48" t="str">
        <f>IF(B247&lt;'Умови та класичний графік'!$J$14,-(SUM(J248:L248)),"")</f>
        <v/>
      </c>
      <c r="H248" s="148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48" t="str">
        <f>IF(B248&lt;'Умови та класичний графік'!$J$14,-(SUM(J249:L249)),"")</f>
        <v/>
      </c>
      <c r="H249" s="148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48" t="str">
        <f>IF(B249&lt;'Умови та класичний графік'!$J$14,-(SUM(J250:L250)),"")</f>
        <v/>
      </c>
      <c r="H250" s="148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IF(B249&lt;'Умови та класичний графік'!$J$14,('Умови та класичний графік'!$J$15*$N$18)+(I250*$N$19),"")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48" t="str">
        <f>IF(B250&lt;'Умови та класичний графік'!$J$14,-(SUM(J251:L251)),"")</f>
        <v/>
      </c>
      <c r="H251" s="148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48" t="str">
        <f>IF(B251&lt;'Умови та класичний графік'!$J$14,-(SUM(J252:L252)),"")</f>
        <v/>
      </c>
      <c r="H252" s="148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48" t="str">
        <f>IF(B252&lt;'Умови та класичний графік'!$J$14,-(SUM(J253:L253)),"")</f>
        <v/>
      </c>
      <c r="H253" s="148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48" t="str">
        <f>IF(B253&lt;'Умови та класичний графік'!$J$14,-(SUM(J254:L254)),"")</f>
        <v/>
      </c>
      <c r="H254" s="148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48" t="str">
        <f>IF(B254&lt;'Умови та класичний графік'!$J$14,-(SUM(J255:L255)),"")</f>
        <v/>
      </c>
      <c r="H255" s="148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48" t="str">
        <f>IF(B255&lt;'Умови та класичний графік'!$J$14,-(SUM(J256:L256)),"")</f>
        <v/>
      </c>
      <c r="H256" s="148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48" t="str">
        <f>IF(B256&lt;'Умови та класичний графік'!$J$14,-(SUM(J257:L257)),"")</f>
        <v/>
      </c>
      <c r="H257" s="148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48" t="str">
        <f>IF(B257&lt;'Умови та класичний графік'!$J$14,-(SUM(J258:L258)),"")</f>
        <v/>
      </c>
      <c r="H258" s="148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48" t="str">
        <f>IF(B258&lt;'Умови та класичний графік'!$J$14,-(SUM(J259:L259)),"")</f>
        <v/>
      </c>
      <c r="H259" s="148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48" t="str">
        <f>IF(B259&lt;'Умови та класичний графік'!$J$14,-(SUM(J260:L260)),"")</f>
        <v/>
      </c>
      <c r="H260" s="148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48" t="str">
        <f>IF(B260&lt;'Умови та класичний графік'!$J$14,-(SUM(J261:L261)),"")</f>
        <v/>
      </c>
      <c r="H261" s="148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48" t="str">
        <f>IF(B261&lt;'Умови та класичний графік'!$J$14,-(SUM(J262:L262)),"")</f>
        <v/>
      </c>
      <c r="H262" s="148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IF(B261&lt;'Умови та класичний графік'!$J$14,('Умови та класичний графік'!$J$15*$N$18)+(I262*$N$19),"")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48" t="str">
        <f>IF(B262&lt;'Умови та класичний графік'!$J$14,-(SUM(J263:L263)),"")</f>
        <v/>
      </c>
      <c r="H263" s="148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48" t="str">
        <f>IF(B263&lt;'Умови та класичний графік'!$J$14,-(SUM(J264:L264)),"")</f>
        <v/>
      </c>
      <c r="H264" s="148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48" t="str">
        <f>IF(B264&lt;'Умови та класичний графік'!$J$14,-(SUM(J265:L265)),"")</f>
        <v/>
      </c>
      <c r="H265" s="148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48" t="str">
        <f>IF(B265&lt;'Умови та класичний графік'!$J$14,-(SUM(J266:L266)),"")</f>
        <v/>
      </c>
      <c r="H266" s="148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48" t="str">
        <f>IF(B266&lt;'Умови та класичний графік'!$J$14,-(SUM(J267:L267)),"")</f>
        <v/>
      </c>
      <c r="H267" s="148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48" t="str">
        <f>IF(B267&lt;'Умови та класичний графік'!$J$14,-(SUM(J268:L268)),"")</f>
        <v/>
      </c>
      <c r="H268" s="148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48" t="str">
        <f>IF(B268&lt;'Умови та класичний графік'!$J$14,-(SUM(J269:L269)),"")</f>
        <v/>
      </c>
      <c r="H269" s="148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48" t="str">
        <f>IF(B269&lt;'Умови та класичний графік'!$J$14,-(SUM(J270:L270)),"")</f>
        <v/>
      </c>
      <c r="H270" s="148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48" t="str">
        <f>IF(B270&lt;'Умови та класичний графік'!$J$14,-(SUM(J271:L271)),"")</f>
        <v/>
      </c>
      <c r="H271" s="148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48" t="str">
        <f>IF(B271&lt;'Умови та класичний графік'!$J$14,-(SUM(J272:L272)),"")</f>
        <v/>
      </c>
      <c r="H272" s="148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48" t="str">
        <f>IF(B272&lt;'Умови та класичний графік'!$J$14,-(SUM(J273:L273)),"")</f>
        <v/>
      </c>
      <c r="H273" s="148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48" t="str">
        <f>IF(B273&lt;'Умови та класичний графік'!$J$14,-(SUM(J274:L274)),"")</f>
        <v/>
      </c>
      <c r="H274" s="148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157" t="s">
        <v>25</v>
      </c>
      <c r="D275" s="157"/>
      <c r="E275" s="157"/>
      <c r="F275" s="157"/>
      <c r="G275" s="176">
        <f>SUM(G35:H274)</f>
        <v>13651843.826534424</v>
      </c>
      <c r="H275" s="177"/>
      <c r="I275" s="50" t="s">
        <v>24</v>
      </c>
      <c r="J275" s="50">
        <f>-(SUM(J35:J274))</f>
        <v>10000000.000000002</v>
      </c>
      <c r="K275" s="50">
        <f>-(SUM(K34:K274))</f>
        <v>3651843.8265344123</v>
      </c>
      <c r="L275" s="51">
        <f>-(SUM(L35:L274))+L34</f>
        <v>50250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50000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0</v>
      </c>
      <c r="T275" s="53">
        <f t="shared" si="7"/>
        <v>0</v>
      </c>
      <c r="U275" s="53">
        <f t="shared" si="7"/>
        <v>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3702093.8265344123</v>
      </c>
      <c r="Y275" s="54">
        <f>X275+'Умови та класичний графік'!J13</f>
        <v>13702093.826534413</v>
      </c>
    </row>
    <row r="276" spans="2:25" s="57" customFormat="1" ht="13.7" customHeight="1" x14ac:dyDescent="0.2">
      <c r="B276" s="5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9"/>
      <c r="V276" s="56"/>
    </row>
    <row r="277" spans="2:25" s="57" customFormat="1" x14ac:dyDescent="0.2">
      <c r="B277" s="5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9"/>
      <c r="V277" s="56"/>
    </row>
  </sheetData>
  <sheetProtection algorithmName="SHA-512" hashValue="CTA++ZhRYGthD1WgKvgTRgIwYuO72ke4CJSACi3Ol92cAGoZXGTS72bKQ9SwCullPDhR8k/PxgvjCjLCxcc6xQ==" saltValue="XIVz8E+tlSai+US0egT8Xg==" spinCount="100000" sheet="1" objects="1" scenarios="1"/>
  <protectedRanges>
    <protectedRange sqref="J11:K13" name="Параметри кредиту_1"/>
  </protectedRanges>
  <mergeCells count="312"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2024-04-05T07:52:45Z</dcterms:modified>
</cp:coreProperties>
</file>